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HRcIwevkGiFsGA7rglNutz8ZeX2lEa85eyFXc+yPJF9ypL+Nffi92dB18Ck9T13Lpjb1EyU2da3J/IWkdnO/lQ==" workbookSaltValue="qO0isaKnjSuibs4KJ6cB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T13" i="12"/>
  <c r="T13" i="16"/>
  <c r="T13" i="20"/>
  <c r="BF15" i="8"/>
  <c r="AU18" i="21"/>
  <c r="AH13" i="16"/>
  <c r="AP13" i="16"/>
  <c r="T18" i="17"/>
  <c r="BG15" i="13"/>
  <c r="BE16" i="13"/>
  <c r="BE15" i="13"/>
  <c r="AX20" i="20"/>
  <c r="S19" i="8" l="1"/>
  <c r="AC19" i="8"/>
  <c r="AL16" i="11"/>
  <c r="C16" i="6"/>
  <c r="H10" i="2"/>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BF13" i="8" l="1"/>
  <c r="AO13" i="17"/>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<sst xmlns="http://schemas.openxmlformats.org/spreadsheetml/2006/main" count="2102" uniqueCount="917">
  <si>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</si>
  <si>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</si>
  <si>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</si>
  <si>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</si>
  <si>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</si>
  <si>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</si>
  <si>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</si>
  <si>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</si>
  <si>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</si>
  <si>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</si>
  <si>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</si>
  <si>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</si>
  <si>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</si>
  <si>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</si>
  <si>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</si>
  <si>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</si>
  <si>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</si>
  <si>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</si>
  <si>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</si>
  <si>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</si>
  <si>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</si>
  <si>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</si>
  <si>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</si>
  <si>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</si>
  <si>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</si>
  <si>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</si>
  <si>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</si>
  <si>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</si>
  <si>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</si>
  <si>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</si>
  <si>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</si>
  <si>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</si>
  <si>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</si>
  <si>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</si>
  <si>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</si>
  <si>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</si>
  <si>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</si>
  <si>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</si>
  <si>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</si>
  <si>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</si>
  <si>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</si>
  <si>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</si>
  <si>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</si>
  <si>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</si>
  <si>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</si>
  <si>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</si>
  <si>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</si>
  <si>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</si>
  <si>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</si>
  <si>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</si>
  <si>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</si>
  <si>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</si>
  <si>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</si>
  <si>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</si>
  <si>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</si>
  <si>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</si>
  <si>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</si>
  <si>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</si>
  <si>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</si>
  <si>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</si>
  <si>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</si>
  <si>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</si>
  <si>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</si>
  <si>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</si>
  <si>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</si>
  <si>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</si>
  <si>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</si>
  <si>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</si>
  <si>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</si>
  <si>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</si>
  <si>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</si>
  <si>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</si>
  <si>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</si>
  <si>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</si>
  <si>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</si>
  <si>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</si>
  <si>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</si>
  <si>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</si>
  <si>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</si>
  <si>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</si>
  <si>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</si>
  <si>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</si>
  <si>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</si>
  <si>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</si>
  <si>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</si>
  <si>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</si>
  <si>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</si>
  <si>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</si>
  <si>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</si>
  <si>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</si>
  <si>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</si>
  <si>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</si>
  <si>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</si>
  <si>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</si>
  <si>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</si>
  <si>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</si>
  <si>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</si>
  <si>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</si>
  <si>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</si>
  <si>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</si>
  <si>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</si>
  <si>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</si>
  <si>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</si>
  <si>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</si>
  <si>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</si>
  <si>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</si>
  <si>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</si>
  <si>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</si>
  <si>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</si>
  <si>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</si>
  <si>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</si>
  <si>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</si>
  <si>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</si>
  <si>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</si>
  <si>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</si>
  <si>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</si>
  <si>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</si>
  <si>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</si>
  <si>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</si>
  <si>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</si>
  <si>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</si>
  <si>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</si>
  <si>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</si>
  <si>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</si>
  <si>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</si>
  <si>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</si>
  <si>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</si>
  <si>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</si>
  <si>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</si>
  <si>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</si>
  <si>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</si>
  <si>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</si>
  <si>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</si>
  <si>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</si>
  <si>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</si>
  <si>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</si>
  <si>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</si>
  <si>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</si>
  <si>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</si>
  <si>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</si>
  <si>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</si>
  <si>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</si>
  <si>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</si>
  <si>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</si>
  <si>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</si>
  <si>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</si>
  <si>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</si>
  <si>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</si>
  <si>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</si>
  <si>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</si>
  <si>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</si>
  <si>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</si>
  <si>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</si>
  <si>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</si>
  <si>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</si>
  <si>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</si>
  <si>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</si>
  <si>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</si>
  <si>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</si>
  <si>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</si>
  <si>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</si>
  <si>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</si>
  <si>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</si>
  <si>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</si>
  <si>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</si>
  <si>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</si>
  <si>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</si>
  <si>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</si>
  <si>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</si>
  <si>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</si>
  <si>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</si>
  <si>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</si>
  <si>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</si>
  <si>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</si>
  <si>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</si>
  <si>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</si>
  <si>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</si>
  <si>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</si>
  <si>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</si>
  <si>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</si>
  <si>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</si>
  <si>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</si>
  <si>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</si>
  <si>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</si>
  <si>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</si>
  <si>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</si>
  <si>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</si>
  <si>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</si>
  <si>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</si>
  <si>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</si>
  <si>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</si>
  <si>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</si>
  <si>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</si>
  <si>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</si>
  <si>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</si>
  <si>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</si>
  <si>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</si>
  <si>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</si>
  <si>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</si>
  <si>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</si>
  <si>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</si>
  <si>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</si>
  <si>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</si>
  <si>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</si>
  <si>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</si>
  <si>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</si>
  <si>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</si>
  <si>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</si>
  <si>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</si>
  <si>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</si>
  <si>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</si>
  <si>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</si>
  <si>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</si>
  <si>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</si>
  <si>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</si>
  <si>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</si>
  <si>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</si>
  <si>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</si>
  <si>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</si>
  <si>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</si>
  <si>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</si>
  <si>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</si>
  <si>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</si>
  <si>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</si>
  <si>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</si>
  <si>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</si>
  <si>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</si>
  <si>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</si>
  <si>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</si>
  <si>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</si>
  <si>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</si>
  <si>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</si>
  <si>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</si>
  <si>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</si>
  <si>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</si>
  <si>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</si>
  <si>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</si>
  <si>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</si>
  <si>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</si>
  <si>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</si>
  <si>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</si>
  <si>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</si>
  <si>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</si>
  <si>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</si>
  <si>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</si>
  <si>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</si>
  <si>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</si>
  <si>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</si>
  <si>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</si>
  <si>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</si>
  <si>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</si>
  <si>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</si>
  <si>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</si>
  <si>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</si>
  <si>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</si>
  <si>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</si>
  <si>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</si>
  <si>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</si>
  <si>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</si>
  <si>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</si>
  <si>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</si>
  <si>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</si>
  <si>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</si>
  <si>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</si>
  <si>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</si>
  <si>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</si>
  <si>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</si>
  <si>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</si>
  <si>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</si>
  <si>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</si>
  <si>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</si>
  <si>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</si>
  <si>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</si>
  <si>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</si>
  <si>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</si>
  <si>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</si>
  <si>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</si>
  <si>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</si>
  <si>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</si>
  <si>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</si>
  <si>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</si>
  <si>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</si>
  <si>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</si>
  <si>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</si>
  <si>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</si>
  <si>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</si>
  <si>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</si>
  <si>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</si>
  <si>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</si>
  <si>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</si>
  <si>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</si>
  <si>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</si>
  <si>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</si>
  <si>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</si>
  <si>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</si>
  <si>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</si>
  <si>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</si>
  <si>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</si>
  <si>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</si>
  <si>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</si>
  <si>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</si>
  <si>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</si>
  <si>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</si>
  <si>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</si>
  <si>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</si>
  <si>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</si>
  <si>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</si>
  <si>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</si>
  <si>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</si>
  <si>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</si>
  <si>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</si>
  <si>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</si>
  <si>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</si>
  <si>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</si>
  <si>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</si>
  <si>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</si>
  <si>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</si>
  <si>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</si>
  <si>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</si>
  <si>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</si>
  <si>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</si>
  <si>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</si>
  <si>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</si>
  <si>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</si>
  <si>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</si>
  <si>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</si>
  <si>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</si>
  <si>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</si>
  <si>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</si>
  <si>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</si>
  <si>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</si>
  <si>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</si>
  <si>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</si>
  <si>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</si>
  <si>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</si>
  <si>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</si>
  <si>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</si>
  <si>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</si>
  <si>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</si>
  <si>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</si>
  <si>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</si>
  <si>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</si>
  <si>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</si>
  <si>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</si>
  <si>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</si>
  <si>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</si>
  <si>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</si>
  <si>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</si>
  <si>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</si>
  <si>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</si>
  <si>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</si>
  <si>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</si>
  <si>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</si>
  <si>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</si>
  <si>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</si>
  <si>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</si>
  <si>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</si>
  <si>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</si>
  <si>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</si>
  <si>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</si>
  <si>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</si>
  <si>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</si>
  <si>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</si>
  <si>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</si>
  <si>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</si>
  <si>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</si>
  <si>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</si>
  <si>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</si>
  <si>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</si>
  <si>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</si>
  <si>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</si>
  <si>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</si>
  <si>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</si>
  <si>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</si>
  <si>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</si>
  <si>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</si>
  <si>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</si>
  <si>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</si>
  <si>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</si>
  <si>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</si>
  <si>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</si>
  <si>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</si>
  <si>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</si>
  <si>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</si>
  <si>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</si>
  <si>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</si>
  <si>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</si>
  <si>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</si>
  <si>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</si>
  <si>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</si>
  <si>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</si>
  <si>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</si>
  <si>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</si>
  <si>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</si>
  <si>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</si>
  <si>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</si>
  <si>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</si>
  <si>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</si>
  <si>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</si>
  <si>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</si>
  <si>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</si>
  <si>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</si>
  <si>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</si>
  <si>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</si>
  <si>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</si>
  <si>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</si>
  <si>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</si>
  <si>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</si>
  <si>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</si>
  <si>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</si>
  <si>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</si>
  <si>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</si>
  <si>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</si>
  <si>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</si>
  <si>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</si>
  <si>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</si>
  <si>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</si>
  <si>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</si>
  <si>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</si>
  <si>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</si>
  <si>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</si>
  <si>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</si>
  <si>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</si>
  <si>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</si>
  <si>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</si>
  <si>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</si>
  <si>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</si>
  <si>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</si>
  <si>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</si>
  <si>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</si>
  <si>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</si>
  <si>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</si>
  <si>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</si>
  <si>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</si>
  <si>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</si>
  <si>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</si>
  <si>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</si>
  <si>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</si>
  <si>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</si>
  <si>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</si>
  <si>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</si>
  <si>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</si>
  <si>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</si>
  <si>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</si>
  <si>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</si>
  <si>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</si>
  <si>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</si>
  <si>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</si>
  <si>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</si>
  <si>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</si>
  <si>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</si>
  <si>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</si>
  <si>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</si>
  <si>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</si>
  <si>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</si>
  <si>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</si>
  <si>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</si>
  <si>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</si>
  <si>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</si>
  <si>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</si>
  <si>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</si>
  <si>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</si>
  <si>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</si>
  <si>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</si>
  <si>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</si>
  <si>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</si>
  <si>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</si>
  <si>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</si>
  <si>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</si>
  <si>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</si>
  <si>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</si>
  <si>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</si>
  <si>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</si>
  <si>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</si>
  <si>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</si>
  <si>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</si>
  <si>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</si>
  <si>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</si>
  <si>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</si>
  <si>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</si>
  <si>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</si>
  <si>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</si>
  <si>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</si>
  <si>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</si>
  <si>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</si>
  <si>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</si>
  <si>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</si>
  <si>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</si>
  <si>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</si>
  <si>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</si>
  <si>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</si>
  <si>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</si>
  <si>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</si>
  <si>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</si>
  <si>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</si>
  <si>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</si>
  <si>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</si>
  <si>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</si>
  <si>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</si>
  <si>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</si>
  <si>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</si>
  <si>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</si>
  <si>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</si>
  <si>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</si>
  <si>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</si>
  <si>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</si>
  <si>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</si>
  <si>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</si>
  <si>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</si>
  <si>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</si>
  <si>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</si>
  <si>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</si>
  <si>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</si>
  <si>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</si>
  <si>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</si>
  <si>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</si>
  <si>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</si>
  <si>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</si>
  <si>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</si>
  <si>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</si>
  <si>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</si>
  <si>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</si>
  <si>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</si>
  <si>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</si>
  <si>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</si>
  <si>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</si>
  <si>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</si>
  <si>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</si>
  <si>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</si>
  <si>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</si>
  <si>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</si>
  <si>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</si>
  <si>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</si>
  <si>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</si>
  <si>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</si>
  <si>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</si>
  <si>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</si>
  <si>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</si>
  <si>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</si>
  <si>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</si>
  <si>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</si>
  <si>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</si>
  <si>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</si>
  <si>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</si>
  <si>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</si>
  <si>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</si>
  <si>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</si>
  <si>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</si>
  <si>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</si>
  <si>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</si>
  <si>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</si>
  <si>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</si>
  <si>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</si>
  <si>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</si>
  <si>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</si>
  <si>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</si>
  <si>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</si>
  <si>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</si>
  <si>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</si>
  <si>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</si>
  <si>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</si>
  <si>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</si>
  <si>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</si>
  <si>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</si>
  <si>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</si>
  <si>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</si>
  <si>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</si>
  <si>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</si>
  <si>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</si>
  <si>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</si>
  <si>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</si>
  <si>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</si>
  <si>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</si>
  <si>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</si>
  <si>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</si>
  <si>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</si>
  <si>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</si>
  <si>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</si>
  <si>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</si>
  <si>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</si>
  <si>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</si>
  <si>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</si>
  <si>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</si>
  <si>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</si>
  <si>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</si>
  <si>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</si>
  <si>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</si>
  <si>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</si>
  <si>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</si>
  <si>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</si>
  <si>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</si>
  <si>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</si>
  <si>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</si>
  <si>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</si>
  <si>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</si>
  <si>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</si>
  <si>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</si>
  <si>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</si>
  <si>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</si>
  <si>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</si>
  <si>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</si>
  <si>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</si>
  <si>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</si>
  <si>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</si>
  <si>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</si>
  <si>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</si>
  <si>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</si>
  <si>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</si>
  <si>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</si>
  <si>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</si>
  <si>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</si>
  <si>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</si>
  <si>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</si>
  <si>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</si>
  <si>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</si>
  <si>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</si>
  <si>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</si>
  <si>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</si>
  <si>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</si>
  <si>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</si>
  <si>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</si>
  <si>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</si>
  <si>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</si>
  <si>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</si>
  <si>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</si>
  <si>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</si>
  <si>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</si>
  <si>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</si>
  <si>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</si>
  <si>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</si>
  <si>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</si>
  <si>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</si>
  <si>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</si>
  <si>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</si>
  <si>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</si>
  <si>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</si>
  <si>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</si>
  <si>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</si>
  <si>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</si>
  <si>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</si>
  <si>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</si>
  <si>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</si>
  <si>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</si>
  <si>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</si>
  <si>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</si>
  <si>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</si>
  <si>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</si>
  <si>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</si>
  <si>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</si>
  <si>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</si>
  <si>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</si>
  <si>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</si>
  <si>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</si>
  <si>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</si>
  <si>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</si>
  <si>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</si>
  <si>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</si>
  <si>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</si>
  <si>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</si>
  <si>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</si>
  <si>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</si>
  <si>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</si>
  <si>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</si>
  <si>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</si>
  <si>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</si>
  <si>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</si>
  <si>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</si>
  <si>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</si>
  <si>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</si>
  <si>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</si>
  <si>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</si>
  <si>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</si>
  <si>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</si>
  <si>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</si>
  <si>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</si>
  <si>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</si>
  <si>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</si>
  <si>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</si>
  <si>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</si>
  <si>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</si>
  <si>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</si>
  <si>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</si>
  <si>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</si>
  <si>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</si>
  <si>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</si>
  <si>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</si>
  <si>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</si>
  <si>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</si>
  <si>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</si>
  <si>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</si>
  <si>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</si>
  <si>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</si>
  <si>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</si>
  <si>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</si>
  <si>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</si>
  <si>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</si>
  <si>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</si>
  <si>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</si>
  <si>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</si>
  <si>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</si>
  <si>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</si>
  <si>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</si>
  <si>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</si>
  <si>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</si>
  <si>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</si>
  <si>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</si>
  <si>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</si>
  <si>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</si>
  <si>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</si>
  <si>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</si>
  <si>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</si>
  <si>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</si>
  <si>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</si>
  <si>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</si>
  <si>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</si>
  <si>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</si>
  <si>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</si>
  <si>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</si>
  <si>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</si>
  <si>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</si>
  <si>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</si>
  <si>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</si>
  <si>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</si>
  <si>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</si>
  <si>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</si>
  <si>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</si>
  <si>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</si>
  <si>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</si>
  <si>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</si>
  <si>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</si>
  <si>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</si>
  <si>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</si>
  <si>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</si>
  <si>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</si>
  <si>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</si>
  <si>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</si>
  <si>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</si>
  <si>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</si>
  <si>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</si>
  <si>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</si>
  <si>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</si>
  <si>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</si>
  <si>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</si>
  <si>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</si>
  <si>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</si>
  <si>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</si>
  <si>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</si>
  <si>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</si>
  <si>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</si>
  <si>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</si>
  <si>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</si>
  <si>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</si>
  <si>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</si>
  <si>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</si>
  <si>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</si>
  <si>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</si>
  <si>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</si>
  <si>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</si>
  <si>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</si>
  <si>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</si>
  <si>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</si>
  <si>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</si>
  <si>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</si>
  <si>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</si>
  <si>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</si>
  <si>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</si>
  <si>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</si>
  <si>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</si>
  <si>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</si>
  <si>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</si>
  <si>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</si>
  <si>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</si>
  <si>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</si>
  <si>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</si>
  <si>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</si>
  <si>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</si>
  <si>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</si>
  <si>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</si>
  <si>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</si>
  <si>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</si>
  <si>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</si>
  <si>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</si>
  <si>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</si>
  <si>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</si>
  <si>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</si>
  <si>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</si>
  <si>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</si>
  <si>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</si>
  <si>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</si>
  <si>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</si>
  <si>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</si>
  <si>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</si>
  <si>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</si>
  <si>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</si>
  <si>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</si>
  <si>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</si>
  <si>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</si>
  <si>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</si>
  <si>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</si>
  <si>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</si>
  <si>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</si>
  <si>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</si>
  <si>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</si>
  <si>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</si>
  <si>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</si>
  <si>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</si>
  <si>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</si>
  <si>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</si>
  <si>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</si>
  <si>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</si>
  <si>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</si>
  <si>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</si>
  <si>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</si>
  <si>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</si>
  <si>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</si>
  <si>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</si>
  <si>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</si>
  <si>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</si>
  <si>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</si>
  <si>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</si>
  <si>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</si>
  <si>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</si>
  <si>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</si>
  <si>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</si>
  <si>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</si>
  <si>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</si>
  <si>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</si>
  <si>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</si>
  <si>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</si>
  <si>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</si>
  <si>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</si>
  <si>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</si>
  <si>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</si>
  <si>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</si>
  <si>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</si>
  <si>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</si>
  <si>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</si>
  <si>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</si>
  <si>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</si>
  <si>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</si>
  <si>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</si>
  <si>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</si>
  <si>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</si>
  <si>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</si>
  <si>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</si>
  <si>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</si>
  <si>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</si>
  <si>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</si>
  <si>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</si>
  <si>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</si>
  <si>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</si>
  <si>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</si>
  <si>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</si>
  <si>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</si>
  <si>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</si>
  <si>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</si>
  <si>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</si>
  <si>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</si>
  <si>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</si>
  <si>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</si>
  <si>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</si>
  <si>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</si>
  <si>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</si>
  <si>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</si>
  <si>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</si>
  <si>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</si>
  <si>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</si>
  <si>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</si>
  <si>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</si>
  <si>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</si>
  <si>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</si>
  <si>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</si>
  <si>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</si>
  <si>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</si>
  <si>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</si>
  <si>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</si>
  <si>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</si>
  <si>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</si>
  <si>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</si>
  <si>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</si>
  <si>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</si>
  <si>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</si>
  <si>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</si>
  <si>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</si>
  <si>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</si>
  <si>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</si>
  <si>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</si>
  <si>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</si>
  <si>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</si>
  <si>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</si>
  <si>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</si>
  <si>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</si>
  <si>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</si>
  <si>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</si>
  <si>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</si>
  <si>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</si>
  <si>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</si>
  <si>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</si>
  <si>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</si>
  <si>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</si>
  <si>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</si>
  <si>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</si>
  <si>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</si>
  <si>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</si>
  <si>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</si>
  <si>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</si>
  <si>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</si>
  <si>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</si>
  <si>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</si>
  <si>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</si>
  <si>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</si>
  <si>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</si>
  <si>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</si>
  <si>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</si>
  <si>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</si>
  <si>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</si>
  <si>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VALDEMORO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</si>
</sst>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Rid87AqNbb0I+vb6LG4WllWV0k2rvpAO50sU4zVTwLmX+uenuS6LKu+SaZHzAKbtnXXiMbMDN8W5G20lYAqlA==" saltValue="3hvMjAfkFHNch9LxI9bp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139</v>
      </c>
      <c r="D10" s="225">
        <f>IF(ISNUMBER(Datos!I10),Datos!I10," - ")</f>
        <v>139</v>
      </c>
      <c r="E10" s="226">
        <f>IF(ISNUMBER(Datos!J10),Datos!J10," - ")</f>
        <v>80</v>
      </c>
      <c r="F10" s="226">
        <f>IF(ISNUMBER(Datos!K10),Datos!K10," - ")</f>
        <v>75</v>
      </c>
      <c r="G10" s="1034" t="str">
        <f>IF(Datos!E10&lt;&gt;"",Datos!E10,Datos!D10)</f>
        <v>37</v>
      </c>
      <c r="H10" s="227">
        <f>IF(ISNUMBER(Datos!L10),Datos!L10," - ")</f>
        <v>144</v>
      </c>
      <c r="I10" s="1044" t="str">
        <f>IF(ISNUMBER(Datos!AS10/Datos!BM10),Datos!AS10/Datos!BM10," - ")</f>
        <v xml:space="preserve"> - </v>
      </c>
      <c r="J10" s="1045">
        <f>IF(ISNUMBER(Datos!BY10/Datos!CN10),Datos!BY10/Datos!CN10," - ")</f>
        <v>0</v>
      </c>
      <c r="K10" s="230">
        <f t="shared" ref="K10:K12" si="1">IF(ISNUMBER((E10-F10)/C10),(E10-F10)/C10," - ")</f>
        <v>3.5971223021582732E-2</v>
      </c>
      <c r="L10" s="1025">
        <f>IF(ISNUMBER(NºAsuntos!I10/NºAsuntos!G10),(NºAsuntos!I10/NºAsuntos!G10)*11," - ")</f>
        <v>21.119999999999997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11.421686746987952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139</v>
      </c>
      <c r="D13" s="1049">
        <f>SUBTOTAL(9,D9:D12)</f>
        <v>139</v>
      </c>
      <c r="E13" s="1050">
        <f>SUBTOTAL(9,E9:E12)</f>
        <v>80</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1822</v>
      </c>
      <c r="D16" s="225">
        <f>IF(ISNUMBER(IF(D_I="SI",Datos!I16,Datos!I16+Datos!AC16)),IF(D_I="SI",Datos!I16,Datos!I16+Datos!AC16)," - ")</f>
        <v>1629</v>
      </c>
      <c r="E16" s="226">
        <f>IF(ISNUMBER(IF(D_I="SI",Datos!J16,Datos!J16+Datos!AD16)),IF(D_I="SI",Datos!J16,Datos!J16+Datos!AD16)," - ")</f>
        <v>7410</v>
      </c>
      <c r="F16" s="226">
        <f>IF(ISNUMBER(IF(D_I="SI",Datos!K16,Datos!K16+Datos!AE16)),IF(D_I="SI",Datos!K16,Datos!K16+Datos!AE16)," - ")</f>
        <v>7184</v>
      </c>
      <c r="G16" s="1034" t="str">
        <f>IF(Datos!E16&lt;&gt;"",Datos!E16,Datos!D16)</f>
        <v>04</v>
      </c>
      <c r="H16" s="227">
        <f>IF(ISNUMBER(IF(D_I="SI",Datos!L16,Datos!L16+Datos!AF16)),IF(D_I="SI",Datos!L16,Datos!L16+Datos!AF16)," - ")</f>
        <v>2048</v>
      </c>
      <c r="I16" s="1044" t="str">
        <f>IF(ISNUMBER(Datos!AS16/Datos!BM16),Datos!AS16/Datos!BM16," - ")</f>
        <v xml:space="preserve"> - </v>
      </c>
      <c r="J16" s="1045">
        <f>IF(ISNUMBER(Datos!BY16/Datos!CN16),Datos!BY16/Datos!CN16," - ")</f>
        <v>0</v>
      </c>
      <c r="K16" s="230">
        <f t="shared" si="3"/>
        <v>0.12403951701427003</v>
      </c>
      <c r="L16" s="1025">
        <f>IF(ISNUMBER(NºAsuntos!I16/NºAsuntos!G16),(NºAsuntos!I16/NºAsuntos!G16)*11," - ")</f>
        <v>3.1358574610244987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227</v>
      </c>
      <c r="D17" s="225">
        <f>IF(ISNUMBER(IF(D_I="SI",Datos!I17,Datos!I17+Datos!AC17)),IF(D_I="SI",Datos!I17,Datos!I17+Datos!AC17)," - ")</f>
        <v>229</v>
      </c>
      <c r="E17" s="226">
        <f>IF(ISNUMBER(IF(D_I="SI",Datos!J17,Datos!J17+Datos!AD17)),IF(D_I="SI",Datos!J17,Datos!J17+Datos!AD17)," - ")</f>
        <v>644</v>
      </c>
      <c r="F17" s="226">
        <f>IF(ISNUMBER(IF(D_I="SI",Datos!K17,Datos!K17+Datos!AE17)),IF(D_I="SI",Datos!K17,Datos!K17+Datos!AE17)," - ")</f>
        <v>688</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-0.19383259911894274</v>
      </c>
      <c r="L17" s="1025">
        <f>IF(ISNUMBER(NºAsuntos!I17/NºAsuntos!G17),(NºAsuntos!I17/NºAsuntos!G17)*11," - ")</f>
        <v>2.9258720930232553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2049</v>
      </c>
      <c r="D18" s="1049">
        <f>SUBTOTAL(9,D15:D17)</f>
        <v>1858</v>
      </c>
      <c r="E18" s="1050">
        <f>SUBTOTAL(9,E15:E17)</f>
        <v>8054</v>
      </c>
      <c r="F18" s="1050">
        <f>SUBTOTAL(9,F15:F17)</f>
        <v>7872</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2188</v>
      </c>
      <c r="D19" s="1071">
        <f>SUBTOTAL(9,D9:D18)</f>
        <v>1997</v>
      </c>
      <c r="E19" s="1072">
        <f>SUBTOTAL(9,E9:E18)</f>
        <v>8134</v>
      </c>
      <c r="F19" s="1072">
        <f>SUBTOTAL(9,F9:F18)</f>
        <v>7947</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lhK7T5MtY/QCyhPoGk68xSA15L91OSu9P3k57Eybf61PzUxZ4s+tIbFiWflvVwGaMef1mZfTUfl1CrEXFho9Q==" saltValue="LkHDjcl3fCSflYPAQf8h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HfM/QhR2GalryBTsDw/zYeLbXLCk1WGz7u4pvGrOyxHqzrT6V7p5WVEgBR9tGzdKhDuWWqMn/ThxVGtD23GHg==" saltValue="m8qkYJASB0YKOrgao6O5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139</v>
      </c>
      <c r="J10" s="181">
        <v>80</v>
      </c>
      <c r="K10" s="181">
        <v>75</v>
      </c>
      <c r="L10" s="181">
        <v>144</v>
      </c>
      <c r="M10" s="181">
        <v>35</v>
      </c>
      <c r="N10" s="181">
        <v>25</v>
      </c>
      <c r="O10" s="181">
        <v>11</v>
      </c>
      <c r="P10" s="181">
        <v>6</v>
      </c>
      <c r="Q10" s="181">
        <v>6</v>
      </c>
      <c r="R10" s="181">
        <v>66</v>
      </c>
      <c r="S10" s="181">
        <v>126</v>
      </c>
      <c r="T10" s="181">
        <v>42</v>
      </c>
      <c r="U10" s="181">
        <v>29</v>
      </c>
      <c r="V10" s="181">
        <v>139</v>
      </c>
      <c r="W10" s="181">
        <v>10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126</v>
      </c>
      <c r="AZ10" s="129">
        <f t="shared" si="0"/>
        <v>42</v>
      </c>
      <c r="BA10" s="129">
        <f t="shared" si="0"/>
        <v>29</v>
      </c>
      <c r="BB10" s="129">
        <f t="shared" si="0"/>
        <v>139</v>
      </c>
      <c r="BC10" s="125">
        <f t="shared" si="0"/>
        <v>10</v>
      </c>
      <c r="BD10" s="126">
        <f>IF(ISNUMBER(BA10/AZ10),BA10/AZ10," - ")</f>
        <v>0.69047619047619047</v>
      </c>
      <c r="BE10" s="127">
        <f>IF(ISNUMBER(BB10/BA10),BB10/BA10, " - ")</f>
        <v>4.7931034482758621</v>
      </c>
      <c r="BF10" s="127">
        <f>IF(ISNUMBER(BC10/BA10),BC10/BA10, " - ")</f>
        <v>0.34482758620689657</v>
      </c>
      <c r="BG10" s="196">
        <f>IF(ISNUMBER((AY10+AZ10)/BA10),(AY10+AZ10)/BA10," - ")</f>
        <v>5.7931034482758621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7876</v>
      </c>
      <c r="J12" s="183">
        <v>9323</v>
      </c>
      <c r="K12" s="183">
        <v>8033</v>
      </c>
      <c r="L12" s="183">
        <v>9239</v>
      </c>
      <c r="M12" s="183">
        <v>1387</v>
      </c>
      <c r="N12" s="183">
        <v>5449</v>
      </c>
      <c r="O12" s="181">
        <v>2619</v>
      </c>
      <c r="P12" s="183">
        <v>1533</v>
      </c>
      <c r="Q12" s="183">
        <v>953</v>
      </c>
      <c r="R12" s="183">
        <v>9810</v>
      </c>
      <c r="S12" s="183">
        <v>6021</v>
      </c>
      <c r="T12" s="183">
        <v>8127</v>
      </c>
      <c r="U12" s="183">
        <v>7236</v>
      </c>
      <c r="V12" s="183">
        <v>7876</v>
      </c>
      <c r="W12" s="183">
        <v>1275</v>
      </c>
      <c r="X12" s="189">
        <v>4461</v>
      </c>
      <c r="Y12" s="191">
        <v>224</v>
      </c>
      <c r="Z12" s="181">
        <v>1078</v>
      </c>
      <c r="AA12" s="181">
        <v>1097</v>
      </c>
      <c r="AB12" s="181">
        <v>241</v>
      </c>
      <c r="AC12" s="183">
        <v>0</v>
      </c>
      <c r="AD12" s="183">
        <v>0</v>
      </c>
      <c r="AE12" s="183">
        <v>0</v>
      </c>
      <c r="AF12" s="189">
        <v>0</v>
      </c>
      <c r="AG12" s="202">
        <v>228</v>
      </c>
      <c r="AH12" s="183">
        <v>1034</v>
      </c>
      <c r="AI12" s="183">
        <v>1059</v>
      </c>
      <c r="AJ12" s="203">
        <v>224</v>
      </c>
      <c r="AK12" s="182">
        <v>0</v>
      </c>
      <c r="AL12" s="183">
        <v>0</v>
      </c>
      <c r="AM12" s="183">
        <v>0</v>
      </c>
      <c r="AN12" s="189">
        <v>0</v>
      </c>
      <c r="AO12" s="259">
        <v>8</v>
      </c>
      <c r="AP12" s="155">
        <v>8</v>
      </c>
      <c r="AQ12" s="155">
        <v>8</v>
      </c>
      <c r="AR12" s="154">
        <v>8</v>
      </c>
      <c r="AS12" s="340" t="s">
        <v>802</v>
      </c>
      <c r="AT12" s="203"/>
      <c r="AU12" s="202"/>
      <c r="AV12" s="203"/>
      <c r="AW12" s="202"/>
      <c r="AX12" s="203"/>
      <c r="AY12" s="126">
        <f t="shared" si="1"/>
        <v>6249</v>
      </c>
      <c r="AZ12" s="127">
        <f t="shared" si="1"/>
        <v>9161</v>
      </c>
      <c r="BA12" s="127">
        <f t="shared" si="1"/>
        <v>8295</v>
      </c>
      <c r="BB12" s="127">
        <f t="shared" si="1"/>
        <v>8100</v>
      </c>
      <c r="BC12" s="125">
        <f>IF(ISNUMBER(X12),X12," - ")</f>
        <v>4461</v>
      </c>
      <c r="BD12" s="126">
        <f t="shared" si="2"/>
        <v>0.90546883527999122</v>
      </c>
      <c r="BE12" s="127">
        <f t="shared" si="3"/>
        <v>0.97649186256781195</v>
      </c>
      <c r="BF12" s="127">
        <f t="shared" si="4"/>
        <v>0.53779385171790239</v>
      </c>
      <c r="BG12" s="196">
        <f t="shared" si="5"/>
        <v>1.8577456298975286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8015</v>
      </c>
      <c r="J13" s="184">
        <f t="shared" si="6"/>
        <v>9403</v>
      </c>
      <c r="K13" s="184">
        <f t="shared" si="6"/>
        <v>8108</v>
      </c>
      <c r="L13" s="184">
        <f t="shared" si="6"/>
        <v>9383</v>
      </c>
      <c r="M13" s="184">
        <f t="shared" si="6"/>
        <v>1422</v>
      </c>
      <c r="N13" s="184">
        <f t="shared" si="6"/>
        <v>5474</v>
      </c>
      <c r="O13" s="184">
        <f t="shared" si="6"/>
        <v>2630</v>
      </c>
      <c r="P13" s="184">
        <f t="shared" si="6"/>
        <v>1539</v>
      </c>
      <c r="Q13" s="184">
        <f t="shared" si="6"/>
        <v>959</v>
      </c>
      <c r="R13" s="184">
        <f t="shared" si="6"/>
        <v>9876</v>
      </c>
      <c r="S13" s="184">
        <f t="shared" si="6"/>
        <v>6147</v>
      </c>
      <c r="T13" s="184">
        <f t="shared" si="6"/>
        <v>8169</v>
      </c>
      <c r="U13" s="184">
        <f t="shared" si="6"/>
        <v>7265</v>
      </c>
      <c r="V13" s="184">
        <f t="shared" si="6"/>
        <v>8015</v>
      </c>
      <c r="W13" s="184">
        <f t="shared" si="6"/>
        <v>1285</v>
      </c>
      <c r="X13" s="184">
        <f t="shared" si="6"/>
        <v>4462</v>
      </c>
      <c r="Y13" s="184">
        <f t="shared" si="6"/>
        <v>224</v>
      </c>
      <c r="Z13" s="184">
        <f t="shared" si="6"/>
        <v>1078</v>
      </c>
      <c r="AA13" s="184">
        <f t="shared" si="6"/>
        <v>1097</v>
      </c>
      <c r="AB13" s="184">
        <f t="shared" si="6"/>
        <v>241</v>
      </c>
      <c r="AC13" s="184">
        <f t="shared" si="6"/>
        <v>0</v>
      </c>
      <c r="AD13" s="184">
        <f t="shared" si="6"/>
        <v>0</v>
      </c>
      <c r="AE13" s="184">
        <f t="shared" si="6"/>
        <v>0</v>
      </c>
      <c r="AF13" s="184">
        <f>SUBTOTAL(9,AF9:AF12)</f>
        <v>0</v>
      </c>
      <c r="AG13" s="184">
        <f t="shared" ref="AG13:AT13" si="7">SUBTOTAL(9,AG8:AG12)</f>
        <v>228</v>
      </c>
      <c r="AH13" s="184">
        <f t="shared" si="7"/>
        <v>1034</v>
      </c>
      <c r="AI13" s="184">
        <f t="shared" si="7"/>
        <v>1059</v>
      </c>
      <c r="AJ13" s="184">
        <f t="shared" si="7"/>
        <v>224</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6375</v>
      </c>
      <c r="AZ13" s="184">
        <f>SUBTOTAL(9,AZ8:AZ12)</f>
        <v>9203</v>
      </c>
      <c r="BA13" s="184">
        <f>SUBTOTAL(9,BA8:BA12)</f>
        <v>8324</v>
      </c>
      <c r="BB13" s="184">
        <f>SUBTOTAL(9,BB8:BB12)</f>
        <v>8239</v>
      </c>
      <c r="BC13" s="184">
        <f>SUBTOTAL(9,BC8:BC12)</f>
        <v>4471</v>
      </c>
      <c r="BD13" s="205">
        <f>IF(ISNUMBER(BA13/AZ13),BA13/AZ13," - ")</f>
        <v>0.90448766706508743</v>
      </c>
      <c r="BE13" s="206">
        <f>IF(ISNUMBER(BB13/BA13),BB13/BA13, " - ")</f>
        <v>0.98978856319077368</v>
      </c>
      <c r="BF13" s="206">
        <f>IF(ISNUMBER(BC13/BA13),BC13/BA13, " - ")</f>
        <v>0.53712157616530509</v>
      </c>
      <c r="BG13" s="207">
        <f>IF(ISNUMBER((AY13+AZ13)/BA13),(AY13+AZ13)/BA13," - ")</f>
        <v>1.871456030754445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1629</v>
      </c>
      <c r="J16" s="183">
        <v>7410</v>
      </c>
      <c r="K16" s="183">
        <v>7184</v>
      </c>
      <c r="L16" s="183">
        <v>2048</v>
      </c>
      <c r="M16" s="183">
        <v>708</v>
      </c>
      <c r="N16" s="183">
        <v>4800</v>
      </c>
      <c r="O16" s="181">
        <v>37</v>
      </c>
      <c r="P16" s="183">
        <v>205</v>
      </c>
      <c r="Q16" s="183">
        <v>262</v>
      </c>
      <c r="R16" s="183">
        <v>201</v>
      </c>
      <c r="S16" s="183">
        <v>1583</v>
      </c>
      <c r="T16" s="183">
        <v>6901</v>
      </c>
      <c r="U16" s="183">
        <v>7049</v>
      </c>
      <c r="V16" s="183">
        <v>1629</v>
      </c>
      <c r="W16" s="183">
        <v>630</v>
      </c>
      <c r="X16" s="189">
        <v>4753</v>
      </c>
      <c r="Y16" s="202">
        <v>0</v>
      </c>
      <c r="Z16" s="183">
        <v>0</v>
      </c>
      <c r="AA16" s="183">
        <v>0</v>
      </c>
      <c r="AB16" s="183">
        <v>0</v>
      </c>
      <c r="AC16" s="183">
        <v>13</v>
      </c>
      <c r="AD16" s="183">
        <v>93</v>
      </c>
      <c r="AE16" s="183">
        <v>99</v>
      </c>
      <c r="AF16" s="189">
        <v>7</v>
      </c>
      <c r="AG16" s="202">
        <v>0</v>
      </c>
      <c r="AH16" s="183">
        <v>0</v>
      </c>
      <c r="AI16" s="183">
        <v>0</v>
      </c>
      <c r="AJ16" s="203">
        <v>0</v>
      </c>
      <c r="AK16" s="182">
        <v>1</v>
      </c>
      <c r="AL16" s="183">
        <v>174</v>
      </c>
      <c r="AM16" s="183">
        <v>162</v>
      </c>
      <c r="AN16" s="189">
        <v>13</v>
      </c>
      <c r="AO16" s="259">
        <v>8</v>
      </c>
      <c r="AP16" s="155">
        <v>8</v>
      </c>
      <c r="AQ16" s="155">
        <v>8</v>
      </c>
      <c r="AR16" s="155">
        <v>8</v>
      </c>
      <c r="AS16" s="340" t="s">
        <v>487</v>
      </c>
      <c r="AT16" s="203"/>
      <c r="AU16" s="202"/>
      <c r="AV16" s="203"/>
      <c r="AW16" s="202"/>
      <c r="AX16" s="203"/>
      <c r="AY16" s="126">
        <f t="shared" si="9"/>
        <v>1583</v>
      </c>
      <c r="AZ16" s="127">
        <f t="shared" si="9"/>
        <v>6901</v>
      </c>
      <c r="BA16" s="127">
        <f t="shared" si="9"/>
        <v>7049</v>
      </c>
      <c r="BB16" s="127">
        <f t="shared" si="9"/>
        <v>1629</v>
      </c>
      <c r="BC16" s="125">
        <f>IF(ISNUMBER(W16),W16," - ")</f>
        <v>630</v>
      </c>
      <c r="BD16" s="126">
        <f t="shared" ref="BD16" si="11">IF(ISNUMBER(BA16/AZ16),BA16/AZ16," - ")</f>
        <v>1.0214461672221418</v>
      </c>
      <c r="BE16" s="127">
        <f t="shared" ref="BE16" si="12">IF(ISNUMBER(BB16/BA16),BB16/BA16, " - ")</f>
        <v>0.23109660944814867</v>
      </c>
      <c r="BF16" s="127">
        <f t="shared" ref="BF16" si="13">IF(ISNUMBER(BC16/BA16),BC16/BA16, " - ")</f>
        <v>8.937437934458789E-2</v>
      </c>
      <c r="BG16" s="196">
        <f t="shared" si="10"/>
        <v>1.2035749751737834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229</v>
      </c>
      <c r="J17" s="183">
        <v>644</v>
      </c>
      <c r="K17" s="183">
        <v>688</v>
      </c>
      <c r="L17" s="183">
        <v>183</v>
      </c>
      <c r="M17" s="183">
        <v>48</v>
      </c>
      <c r="N17" s="183">
        <v>408</v>
      </c>
      <c r="O17" s="183">
        <v>0</v>
      </c>
      <c r="P17" s="183">
        <v>6</v>
      </c>
      <c r="Q17" s="183">
        <v>2</v>
      </c>
      <c r="R17" s="183">
        <v>20</v>
      </c>
      <c r="S17" s="183">
        <v>229</v>
      </c>
      <c r="T17" s="183">
        <v>440</v>
      </c>
      <c r="U17" s="183">
        <v>446</v>
      </c>
      <c r="V17" s="183">
        <v>229</v>
      </c>
      <c r="W17" s="183">
        <v>50</v>
      </c>
      <c r="X17" s="189">
        <v>251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229</v>
      </c>
      <c r="AZ17" s="129">
        <f t="shared" si="14"/>
        <v>440</v>
      </c>
      <c r="BA17" s="129">
        <f t="shared" si="14"/>
        <v>446</v>
      </c>
      <c r="BB17" s="129">
        <f t="shared" si="14"/>
        <v>229</v>
      </c>
      <c r="BC17" s="125">
        <f>IF(ISNUMBER(W17),W17," - ")</f>
        <v>50</v>
      </c>
      <c r="BD17" s="126">
        <f>IF(ISNUMBER(BA17/AZ17),BA17/AZ17," - ")</f>
        <v>1.0136363636363637</v>
      </c>
      <c r="BE17" s="127">
        <f>IF(ISNUMBER(BB17/BA17),BB17/BA17, " - ")</f>
        <v>0.51345291479820632</v>
      </c>
      <c r="BF17" s="127">
        <f>IF(ISNUMBER(BC17/BA17),BC17/BA17, " - ")</f>
        <v>0.11210762331838565</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1858</v>
      </c>
      <c r="J18" s="184">
        <f t="shared" si="15"/>
        <v>8054</v>
      </c>
      <c r="K18" s="184">
        <f t="shared" si="15"/>
        <v>7872</v>
      </c>
      <c r="L18" s="184">
        <f t="shared" si="15"/>
        <v>2231</v>
      </c>
      <c r="M18" s="184">
        <f t="shared" si="15"/>
        <v>756</v>
      </c>
      <c r="N18" s="184">
        <f t="shared" si="15"/>
        <v>5208</v>
      </c>
      <c r="O18" s="184">
        <f t="shared" si="15"/>
        <v>37</v>
      </c>
      <c r="P18" s="184">
        <f t="shared" si="15"/>
        <v>211</v>
      </c>
      <c r="Q18" s="184">
        <f t="shared" si="15"/>
        <v>264</v>
      </c>
      <c r="R18" s="184">
        <f t="shared" si="15"/>
        <v>221</v>
      </c>
      <c r="S18" s="184">
        <f t="shared" si="15"/>
        <v>1812</v>
      </c>
      <c r="T18" s="184">
        <f t="shared" si="15"/>
        <v>7341</v>
      </c>
      <c r="U18" s="184">
        <f t="shared" si="15"/>
        <v>7495</v>
      </c>
      <c r="V18" s="184">
        <f t="shared" si="15"/>
        <v>1858</v>
      </c>
      <c r="W18" s="184">
        <f t="shared" si="15"/>
        <v>680</v>
      </c>
      <c r="X18" s="184">
        <f t="shared" si="15"/>
        <v>5004</v>
      </c>
      <c r="Y18" s="184">
        <f t="shared" si="15"/>
        <v>0</v>
      </c>
      <c r="Z18" s="184">
        <f t="shared" si="15"/>
        <v>0</v>
      </c>
      <c r="AA18" s="184">
        <f t="shared" si="15"/>
        <v>0</v>
      </c>
      <c r="AB18" s="184">
        <f t="shared" si="15"/>
        <v>0</v>
      </c>
      <c r="AC18" s="184">
        <f t="shared" si="15"/>
        <v>13</v>
      </c>
      <c r="AD18" s="184">
        <f t="shared" si="15"/>
        <v>93</v>
      </c>
      <c r="AE18" s="184">
        <f t="shared" si="15"/>
        <v>99</v>
      </c>
      <c r="AF18" s="184">
        <f t="shared" si="15"/>
        <v>7</v>
      </c>
      <c r="AG18" s="184">
        <f t="shared" si="15"/>
        <v>0</v>
      </c>
      <c r="AH18" s="184">
        <f t="shared" si="15"/>
        <v>0</v>
      </c>
      <c r="AI18" s="184">
        <f t="shared" si="15"/>
        <v>0</v>
      </c>
      <c r="AJ18" s="184">
        <f t="shared" si="15"/>
        <v>0</v>
      </c>
      <c r="AK18" s="184">
        <f t="shared" si="15"/>
        <v>1</v>
      </c>
      <c r="AL18" s="184">
        <f t="shared" si="15"/>
        <v>174</v>
      </c>
      <c r="AM18" s="184">
        <f t="shared" si="15"/>
        <v>162</v>
      </c>
      <c r="AN18" s="184">
        <f t="shared" si="15"/>
        <v>13</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1812</v>
      </c>
      <c r="AZ18" s="184">
        <f>SUBTOTAL(9,AZ14:AZ17)</f>
        <v>7341</v>
      </c>
      <c r="BA18" s="184">
        <f>SUBTOTAL(9,BA14:BA17)</f>
        <v>7495</v>
      </c>
      <c r="BB18" s="184">
        <f>SUBTOTAL(9,BB14:BB17)</f>
        <v>1858</v>
      </c>
      <c r="BC18" s="184">
        <f>SUBTOTAL(9,BC14:BC17)</f>
        <v>680</v>
      </c>
      <c r="BD18" s="205">
        <f>IF(ISNUMBER(BA18/AZ18),BA18/AZ18," - ")</f>
        <v>1.020978068383054</v>
      </c>
      <c r="BE18" s="206">
        <f>IF(ISNUMBER(BB18/BA18),BB18/BA18, " - ")</f>
        <v>0.24789859906604403</v>
      </c>
      <c r="BF18" s="206">
        <f>IF(ISNUMBER(BC18/BA18),BC18/BA18, " - ")</f>
        <v>9.0727151434289527E-2</v>
      </c>
      <c r="BG18" s="207">
        <f>IF(ISNUMBER((AY18+AZ18)/BA18),(AY18+AZ18)/BA18," - ")</f>
        <v>1.2212141427618413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9873</v>
      </c>
      <c r="J19" s="134">
        <f t="shared" si="18"/>
        <v>17457</v>
      </c>
      <c r="K19" s="134">
        <f t="shared" si="18"/>
        <v>15980</v>
      </c>
      <c r="L19" s="134">
        <f t="shared" si="18"/>
        <v>11614</v>
      </c>
      <c r="M19" s="134">
        <f t="shared" si="18"/>
        <v>2178</v>
      </c>
      <c r="N19" s="134">
        <f t="shared" si="18"/>
        <v>10682</v>
      </c>
      <c r="O19" s="134">
        <f t="shared" si="18"/>
        <v>2667</v>
      </c>
      <c r="P19" s="134">
        <f t="shared" si="18"/>
        <v>1750</v>
      </c>
      <c r="Q19" s="134">
        <f t="shared" si="18"/>
        <v>1223</v>
      </c>
      <c r="R19" s="134">
        <f t="shared" si="18"/>
        <v>10097</v>
      </c>
      <c r="S19" s="134">
        <f t="shared" si="18"/>
        <v>7959</v>
      </c>
      <c r="T19" s="134">
        <f t="shared" si="18"/>
        <v>15510</v>
      </c>
      <c r="U19" s="134">
        <f t="shared" si="18"/>
        <v>14760</v>
      </c>
      <c r="V19" s="134">
        <f t="shared" si="18"/>
        <v>9873</v>
      </c>
      <c r="W19" s="134">
        <f t="shared" si="18"/>
        <v>1965</v>
      </c>
      <c r="X19" s="134">
        <f t="shared" si="18"/>
        <v>9466</v>
      </c>
      <c r="Y19" s="134">
        <f t="shared" si="18"/>
        <v>224</v>
      </c>
      <c r="Z19" s="134">
        <f t="shared" si="18"/>
        <v>1078</v>
      </c>
      <c r="AA19" s="134">
        <f t="shared" si="18"/>
        <v>1097</v>
      </c>
      <c r="AB19" s="134">
        <f t="shared" si="18"/>
        <v>241</v>
      </c>
      <c r="AC19" s="134">
        <f t="shared" si="18"/>
        <v>13</v>
      </c>
      <c r="AD19" s="134">
        <f t="shared" si="18"/>
        <v>93</v>
      </c>
      <c r="AE19" s="134">
        <f t="shared" si="18"/>
        <v>99</v>
      </c>
      <c r="AF19" s="134">
        <f t="shared" si="18"/>
        <v>7</v>
      </c>
      <c r="AG19" s="134">
        <f t="shared" si="18"/>
        <v>228</v>
      </c>
      <c r="AH19" s="134">
        <f t="shared" si="18"/>
        <v>1034</v>
      </c>
      <c r="AI19" s="134">
        <f t="shared" si="18"/>
        <v>1059</v>
      </c>
      <c r="AJ19" s="134">
        <f t="shared" si="18"/>
        <v>224</v>
      </c>
      <c r="AK19" s="134">
        <f t="shared" si="18"/>
        <v>1</v>
      </c>
      <c r="AL19" s="134">
        <f t="shared" si="18"/>
        <v>174</v>
      </c>
      <c r="AM19" s="134">
        <f t="shared" si="18"/>
        <v>162</v>
      </c>
      <c r="AN19" s="210">
        <f t="shared" si="18"/>
        <v>13</v>
      </c>
      <c r="AO19" s="211">
        <v>9</v>
      </c>
      <c r="AP19" s="211">
        <v>8</v>
      </c>
      <c r="AQ19" s="211">
        <v>8</v>
      </c>
      <c r="AR19" s="211">
        <v>8</v>
      </c>
      <c r="AS19" s="153">
        <f t="shared" si="18"/>
        <v>0</v>
      </c>
      <c r="AT19" s="153">
        <f t="shared" si="18"/>
        <v>0</v>
      </c>
      <c r="AU19" s="211"/>
      <c r="AV19" s="212"/>
      <c r="AW19" s="211"/>
      <c r="AX19" s="212"/>
      <c r="AY19" s="133">
        <f>SUBTOTAL(9,AY9:AY18)</f>
        <v>8187</v>
      </c>
      <c r="AZ19" s="134">
        <f>SUBTOTAL(9,AZ9:AZ18)</f>
        <v>16544</v>
      </c>
      <c r="BA19" s="134">
        <f>SUBTOTAL(9,BA9:BA18)</f>
        <v>15819</v>
      </c>
      <c r="BB19" s="134">
        <f>SUBTOTAL(9,BB9:BB18)</f>
        <v>10097</v>
      </c>
      <c r="BC19" s="135">
        <f>SUBTOTAL(9,BC9:BC18)</f>
        <v>5151</v>
      </c>
      <c r="BD19" s="213">
        <f>IF(ISNUMBER(BA19/AZ19),BA19/AZ19," - ")</f>
        <v>0.9561774661508704</v>
      </c>
      <c r="BE19" s="210">
        <f>IF(ISNUMBER(BB19/BA19),BB19/BA19, " - ")</f>
        <v>0.63828307731209311</v>
      </c>
      <c r="BF19" s="210">
        <f>IF(ISNUMBER(BC19/BA19),BC19/BA19, " - ")</f>
        <v>0.3256210885643846</v>
      </c>
      <c r="BG19" s="135">
        <f>IF(ISNUMBER((AY19+AZ19)/BA19),(AY19+AZ19)/BA19," - ")</f>
        <v>1.5633731588595992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PuB0tHIx9KsYkF74DMT1cHJKHynC6mXSzaeUINes1y+7S6t1bLpRRuO7++tpn9QTrQ6XfmpF6bp7Ngo1gptg==" saltValue="q308ZHQFilxyL+caRQbx0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NTdnfZwRW5xJxnjsa29ASssoQC5sDC+jzL7ordhbBd8TIiSQzK1VQrX4WorcijF1Ys80iXGbcng7jrpMeMXhw==" saltValue="uqRO2+ogP59gDrhBJu9N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139</v>
      </c>
      <c r="G10" s="333">
        <f>IF(ISNUMBER(Datos!I10),Datos!I10," - ")</f>
        <v>139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6</v>
      </c>
      <c r="AD10" s="334"/>
      <c r="AE10" s="484"/>
      <c r="AF10" s="332">
        <f>IF(ISNUMBER(Datos!L10),Datos!L10,"-")</f>
        <v>144</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35</v>
      </c>
      <c r="BD10" s="229">
        <f>IF(ISNUMBER(Datos!N10),Datos!N10," - ")</f>
        <v>25</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21.119999999999997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1078</v>
      </c>
      <c r="O12" s="334"/>
      <c r="P12" s="334"/>
      <c r="Q12" s="226">
        <f>IF(ISNUMBER(Datos!P12),Datos!P12,0)</f>
        <v>1533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241</v>
      </c>
      <c r="AI12" s="334" t="str">
        <f>IF(ISNUMBER(Datos!CD12),Datos!CD12,"-")</f>
        <v>-</v>
      </c>
      <c r="AJ12" s="334" t="str">
        <f>IF(ISNUMBER(Datos!EN12),Datos!EN12," - ")</f>
        <v xml:space="preserve"> - </v>
      </c>
      <c r="AK12" s="334"/>
      <c r="AL12" s="479"/>
      <c r="AM12" s="335">
        <f>IF(ISNUMBER(Datos!R12),Datos!R12," - ")</f>
        <v>9810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1387</v>
      </c>
      <c r="BD12" s="229">
        <f>IF(ISNUMBER(Datos!N12),Datos!N12," - ")</f>
        <v>5449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0.87780021151812326</v>
      </c>
      <c r="BH12" s="260">
        <f>IF(ISNUMBER(((IF(J_V="SI",Datos!L12/Datos!K12,(Datos!L12+Datos!AB12)/(Datos!K12+Datos!AA12)))*11)/factor_trimestre),((IF(J_V="SI",Datos!L12/Datos!K12,(Datos!L12+Datos!AB12)/(Datos!K12+Datos!AA12)))*11)/factor_trimestre," - ")</f>
        <v>11.421686746987952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6.2838569880823397E-2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139</v>
      </c>
      <c r="G13" s="898">
        <f t="shared" si="0"/>
        <v>139</v>
      </c>
      <c r="H13" s="899">
        <f t="shared" si="0"/>
        <v>0</v>
      </c>
      <c r="I13" s="898">
        <f t="shared" si="0"/>
        <v>0</v>
      </c>
      <c r="J13" s="867">
        <f t="shared" si="0"/>
        <v>0</v>
      </c>
      <c r="K13" s="867">
        <f t="shared" si="0"/>
        <v>0</v>
      </c>
      <c r="L13" s="899">
        <f t="shared" si="0"/>
        <v>0</v>
      </c>
      <c r="M13" s="899">
        <f t="shared" si="0"/>
        <v>0</v>
      </c>
      <c r="N13" s="899">
        <f t="shared" si="0"/>
        <v>1078</v>
      </c>
      <c r="O13" s="900">
        <f t="shared" si="0"/>
        <v>0</v>
      </c>
      <c r="P13" s="900">
        <f t="shared" si="0"/>
        <v>0</v>
      </c>
      <c r="Q13" s="899">
        <f t="shared" si="0"/>
        <v>1539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959</v>
      </c>
      <c r="AD13" s="899">
        <f t="shared" si="1"/>
        <v>0</v>
      </c>
      <c r="AE13" s="899">
        <f t="shared" si="1"/>
        <v>0</v>
      </c>
      <c r="AF13" s="899">
        <f t="shared" si="1"/>
        <v>144</v>
      </c>
      <c r="AG13" s="899">
        <f t="shared" si="1"/>
        <v>0</v>
      </c>
      <c r="AH13" s="899">
        <f t="shared" si="1"/>
        <v>241</v>
      </c>
      <c r="AI13" s="899">
        <f t="shared" si="1"/>
        <v>0</v>
      </c>
      <c r="AJ13" s="899">
        <f t="shared" si="1"/>
        <v>0</v>
      </c>
      <c r="AK13" s="899">
        <f t="shared" si="1"/>
        <v>0</v>
      </c>
      <c r="AL13" s="899">
        <f t="shared" si="1"/>
        <v>0</v>
      </c>
      <c r="AM13" s="899">
        <f t="shared" si="1"/>
        <v>9876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1422</v>
      </c>
      <c r="BD13" s="899">
        <f t="shared" si="1"/>
        <v>5474</v>
      </c>
      <c r="BE13" s="899">
        <f t="shared" si="1"/>
        <v>0</v>
      </c>
      <c r="BF13" s="899">
        <f t="shared" si="1"/>
        <v>0</v>
      </c>
      <c r="BG13" s="899">
        <f>IF(ISNUMBER(Datos!K13/Datos!J13),Datos!K13/Datos!J13," - ")</f>
        <v>0.86227799638413272</v>
      </c>
      <c r="BH13" s="903">
        <f>IF(ISNUMBER(((Datos!L13/Datos!K13)*11)/factor_trimestre),((Datos!L13/Datos!K13)*11)/factor_trimestre," - ")</f>
        <v>12.729773063640849</v>
      </c>
      <c r="BI13" s="899">
        <f>IF(ISNUMBER('Resol  Asuntos'!D13/NºAsuntos!G13),'Resol  Asuntos'!D13/NºAsuntos!G13," - ")</f>
        <v>0.15448126018468225</v>
      </c>
      <c r="BJ13" s="899" t="str">
        <f>IF(ISNUMBER(Datos!CI13/Datos!CJ13),Datos!CI13/Datos!CJ13," - ")</f>
        <v xml:space="preserve"> - </v>
      </c>
      <c r="BK13" s="899">
        <f>SUBTOTAL(9,BK8:BK12)</f>
        <v>0</v>
      </c>
      <c r="BL13" s="899">
        <f>IF(ISNUMBER((I13-AB13+L13)/(F13)),(I13-AB13+L13)/(F13)," - ")</f>
        <v>-0.53956834532374098</v>
      </c>
      <c r="BM13" s="904">
        <f>SUBTOTAL(9,BM9:BM12)</f>
        <v>6.2838569880823397E-2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1822</v>
      </c>
      <c r="G16" s="598">
        <f>IF(ISNUMBER(IF(D_I="SI",Datos!I16,Datos!I16+Datos!AC16)),IF(D_I="SI",Datos!I16,Datos!I16+Datos!AC16)," - ")</f>
        <v>1629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7184</v>
      </c>
      <c r="AC16" s="226">
        <f>IF(ISNUMBER(Datos!Q16),Datos!Q16," - ")</f>
        <v>262</v>
      </c>
      <c r="AD16" s="334"/>
      <c r="AE16" s="484"/>
      <c r="AF16" s="596">
        <f>IF(ISNUMBER(IF(D_I="SI",Datos!L16,Datos!L16+Datos!AF16)),IF(D_I="SI",Datos!L16,Datos!L16+Datos!AF16)," - ")</f>
        <v>2048</v>
      </c>
      <c r="AG16" s="334"/>
      <c r="AH16" s="334"/>
      <c r="AI16" s="334"/>
      <c r="AJ16" s="334"/>
      <c r="AK16" s="334"/>
      <c r="AL16" s="479"/>
      <c r="AM16" s="335">
        <f>IF(ISNUMBER(Datos!R16),Datos!R16," - ")</f>
        <v>201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708</v>
      </c>
      <c r="BD16" s="229">
        <f>IF(ISNUMBER(Datos!N16),Datos!N16," - ")</f>
        <v>4800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0.96950067476383261</v>
      </c>
      <c r="BH16" s="260">
        <f>IF(ISNUMBER(((IF(D_I="SI",Datos!L16/Datos!K16,(Datos!L16+Datos!AF16)/(Datos!K16+Datos!AE16)))*11)/factor_trimestre),((IF(D_I="SI",Datos!L16/Datos!K16,(Datos!L16+Datos!AF16)/(Datos!K16+Datos!AE16)))*11)/factor_trimestre," - ")</f>
        <v>3.1358574610244987</v>
      </c>
      <c r="BI16" s="243">
        <f>IF(ISNUMBER('Resol  Asuntos'!D16/NºAsuntos!G16),'Resol  Asuntos'!D16/NºAsuntos!G16," - ")</f>
        <v>9.8552338530066813E-2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688</v>
      </c>
      <c r="AC17" s="226">
        <f>IF(ISNUMBER(Datos!Q17),Datos!Q17," - ")</f>
        <v>2</v>
      </c>
      <c r="AD17" s="334"/>
      <c r="AE17" s="484"/>
      <c r="AF17" s="332">
        <f>IF(ISNUMBER(Datos!L17),Datos!L17,"-")</f>
        <v>183</v>
      </c>
      <c r="AG17" s="334"/>
      <c r="AH17" s="334"/>
      <c r="AI17" s="334"/>
      <c r="AJ17" s="334"/>
      <c r="AK17" s="334"/>
      <c r="AL17" s="479"/>
      <c r="AM17" s="335">
        <f>IF(ISNUMBER(Datos!R17),Datos!R17," - ")</f>
        <v>20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48</v>
      </c>
      <c r="BD17" s="229">
        <f>IF(ISNUMBER(Datos!N17),Datos!N17," - ")</f>
        <v>408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1.0683229813664596</v>
      </c>
      <c r="BH17" s="260">
        <f>IF(ISNUMBER(((IF(D_I="SI",Datos!L17/Datos!K17,(Datos!L17+Datos!AF17)/(Datos!K17+Datos!AE17)))*11)/factor_trimestre),((IF(D_I="SI",Datos!L17/Datos!K17,(Datos!L17+Datos!AF17)/(Datos!K17+Datos!AE17)))*11)/factor_trimestre," - ")</f>
        <v>2.9258720930232553</v>
      </c>
      <c r="BI17" s="243">
        <f>IF(ISNUMBER('Resol  Asuntos'!D17/NºAsuntos!G17),'Resol  Asuntos'!D17/NºAsuntos!G17," - ")</f>
        <v>6.9767441860465115E-2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1822</v>
      </c>
      <c r="G18" s="898">
        <f>SUBTOTAL(9,G15:G17)</f>
        <v>1858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7872</v>
      </c>
      <c r="AC18" s="899">
        <f t="shared" si="4"/>
        <v>264</v>
      </c>
      <c r="AD18" s="899">
        <f t="shared" si="4"/>
        <v>0</v>
      </c>
      <c r="AE18" s="899">
        <f t="shared" si="4"/>
        <v>0</v>
      </c>
      <c r="AF18" s="899">
        <f t="shared" si="4"/>
        <v>2231</v>
      </c>
      <c r="AG18" s="899">
        <f t="shared" si="4"/>
        <v>0</v>
      </c>
      <c r="AH18" s="899">
        <f t="shared" si="4"/>
        <v>0</v>
      </c>
      <c r="AI18" s="899">
        <f t="shared" si="4"/>
        <v>0</v>
      </c>
      <c r="AJ18" s="899">
        <f t="shared" si="4"/>
        <v>0</v>
      </c>
      <c r="AK18" s="899">
        <f t="shared" si="4"/>
        <v>0</v>
      </c>
      <c r="AL18" s="899">
        <f t="shared" si="4"/>
        <v>0</v>
      </c>
      <c r="AM18" s="899">
        <f t="shared" si="4"/>
        <v>221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756</v>
      </c>
      <c r="BD18" s="899">
        <f t="shared" si="4"/>
        <v>5208</v>
      </c>
      <c r="BE18" s="899">
        <f t="shared" si="4"/>
        <v>0</v>
      </c>
      <c r="BF18" s="899">
        <f t="shared" si="4"/>
        <v>0</v>
      </c>
      <c r="BG18" s="899">
        <f>IF(ISNUMBER(Datos!K18/Datos!J18),Datos!K18/Datos!J18," - ")</f>
        <v>0.97740253290290535</v>
      </c>
      <c r="BH18" s="903">
        <f>IF(ISNUMBER(((Datos!L18/Datos!K18)*11)/factor_trimestre),((Datos!L18/Datos!K18)*11)/factor_trimestre," - ")</f>
        <v>3.1175050813008127</v>
      </c>
      <c r="BI18" s="899">
        <f>SUBTOTAL(9,BI15:BI17)</f>
        <v>0.16831978039053191</v>
      </c>
      <c r="BJ18" s="899">
        <f>SUBTOTAL(9,BJ15:BJ17)</f>
        <v>0</v>
      </c>
      <c r="BK18" s="899">
        <f>SUBTOTAL(9,BK15:BK17)</f>
        <v>0</v>
      </c>
      <c r="BL18" s="899">
        <f>IF(ISNUMBER((I18-AB18+L18)/(F18)),(I18-AB18+L18)/(F18)," - ")</f>
        <v>-4.3205268935236001</v>
      </c>
      <c r="BM18" s="905">
        <f>IF(ISNUMBER((Datos!P18-Datos!Q18)/(Datos!R18-Datos!P18+Datos!Q18)),(Datos!P18-Datos!Q18)/(Datos!R18-Datos!P18+Datos!Q18)," - ")</f>
        <v>-0.19343065693430658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1961</v>
      </c>
      <c r="G19" s="820">
        <f t="shared" si="6"/>
        <v>1997</v>
      </c>
      <c r="H19" s="822">
        <f t="shared" si="6"/>
        <v>0</v>
      </c>
      <c r="I19" s="820">
        <f t="shared" si="6"/>
        <v>0</v>
      </c>
      <c r="J19" s="822">
        <f t="shared" si="6"/>
        <v>0</v>
      </c>
      <c r="K19" s="822">
        <f t="shared" si="6"/>
        <v>0</v>
      </c>
      <c r="L19" s="881">
        <f t="shared" si="6"/>
        <v>0</v>
      </c>
      <c r="M19" s="881">
        <f t="shared" si="6"/>
        <v>0</v>
      </c>
      <c r="N19" s="881">
        <f t="shared" si="6"/>
        <v>1078</v>
      </c>
      <c r="O19" s="881">
        <f t="shared" si="6"/>
        <v>0</v>
      </c>
      <c r="P19" s="881">
        <f t="shared" si="6"/>
        <v>0</v>
      </c>
      <c r="Q19" s="822">
        <f t="shared" si="6"/>
        <v>1750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7947</v>
      </c>
      <c r="AC19" s="821">
        <f t="shared" si="7"/>
        <v>1223</v>
      </c>
      <c r="AD19" s="821">
        <f t="shared" si="7"/>
        <v>0</v>
      </c>
      <c r="AE19" s="821">
        <f t="shared" si="7"/>
        <v>0</v>
      </c>
      <c r="AF19" s="828">
        <f t="shared" si="7"/>
        <v>2375</v>
      </c>
      <c r="AG19" s="828">
        <f t="shared" si="7"/>
        <v>0</v>
      </c>
      <c r="AH19" s="828">
        <f t="shared" si="7"/>
        <v>241</v>
      </c>
      <c r="AI19" s="828">
        <f t="shared" si="7"/>
        <v>0</v>
      </c>
      <c r="AJ19" s="821">
        <f t="shared" si="7"/>
        <v>0</v>
      </c>
      <c r="AK19" s="828">
        <f t="shared" si="7"/>
        <v>0</v>
      </c>
      <c r="AL19" s="828">
        <f t="shared" si="7"/>
        <v>0</v>
      </c>
      <c r="AM19" s="828">
        <f t="shared" si="7"/>
        <v>10097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2178</v>
      </c>
      <c r="BD19" s="820">
        <f t="shared" si="7"/>
        <v>10682</v>
      </c>
      <c r="BE19" s="820">
        <f t="shared" si="7"/>
        <v>0</v>
      </c>
      <c r="BF19" s="830">
        <f t="shared" si="7"/>
        <v>0</v>
      </c>
      <c r="BG19" s="915">
        <f>IF(ISNUMBER(Datos!K19/Datos!J19),Datos!K19/Datos!J19," - ")</f>
        <v>0.9153921063183823</v>
      </c>
      <c r="BH19" s="915">
        <f>IF(ISNUMBER(((Datos!L19/Datos!K19)*11)/factor_trimestre),((Datos!L19/Datos!K19)*11)/factor_trimestre," - ")</f>
        <v>7.994618272841052</v>
      </c>
      <c r="BI19" s="813">
        <f>IF(ISNUMBER(Datos!J19/Datos!I19),Datos!J19/Datos!I19," - ")</f>
        <v>1.7681555758128229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-4.0525242223355429</v>
      </c>
      <c r="BM19" s="889">
        <f>IF(ISNUMBER((Datos!P19-Datos!Q19+R19)/(Datos!R19-Datos!P19+Datos!Q19-R19)),(Datos!P19-Datos!Q19+R19)/(Datos!R19-Datos!P19+Datos!Q19-R19)," - ")</f>
        <v>5.5067920585161967E-2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971.68050304614019</v>
      </c>
      <c r="G21" s="552">
        <f>IF(ISNUMBER(STDEV(G8:G18)),STDEV(G8:G18),"-")</f>
        <v>866.96032204478649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3985.567299645058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609.87310155474142</v>
      </c>
      <c r="BD21" s="551"/>
      <c r="BE21" s="551">
        <f>IF(ISNUMBER(STDEV(BE8:BE18)),STDEV(BE8:BE18),"-")</f>
        <v>0</v>
      </c>
      <c r="BF21" s="556">
        <f>IF(ISNUMBER(STDEV(BF8:BF18)),STDEV(BF8:BF18),"-")</f>
        <v>0</v>
      </c>
      <c r="BG21" s="775">
        <f>IF(ISNUMBER(STDEV(BG8:BG18)),STDEV(BG8:BG18),"-")</f>
        <v>7.5082731662906396E-2</v>
      </c>
      <c r="BH21" s="776">
        <f>IF(ISNUMBER(STDEV(BH8:BH18)),STDEV(BH8:BH18),"-")</f>
        <v>7.3827266450246229</v>
      </c>
      <c r="BI21" s="249">
        <f>IF(ISNUMBER(STDEV(BI8:BI18)),STDEV(BI8:BI18),"-")</f>
        <v>4.6462000229382953E-2</v>
      </c>
      <c r="BJ21" s="230" t="str">
        <f>IF(ISNUMBER(BL21/BM21),BL21/BM21," - ")</f>
        <v xml:space="preserve"> - </v>
      </c>
      <c r="BK21" s="575"/>
      <c r="BL21" s="559">
        <f>IF(ISNUMBER(STDEV(BL8:BL18)),STDEV(BL8:BL18),"-")</f>
        <v>2.6735414288173636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ORTkkQGB9MDF2wvdzAYJHy1/N9J+Y/m8vEe2JhyqPNbbk5/OrkUNZdmpjKtxRSLijQfVKnHwQiwUU3EnznUUQ==" saltValue="ygklAGoGgXWqAOI/RIrk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VALDEMORO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139</v>
      </c>
      <c r="G10" s="225">
        <f>IF(ISNUMBER(Datos!I10),Datos!I10," - ")</f>
        <v>139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6</v>
      </c>
      <c r="AA10" s="332">
        <f>IF(ISNUMBER(Datos!L10),Datos!L10,"-")</f>
        <v>144</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35</v>
      </c>
      <c r="AK10" s="229">
        <f>IF(ISNUMBER(Datos!N10),Datos!N10," - ")</f>
        <v>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21.119999999999997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953</v>
      </c>
      <c r="AA12" s="332" t="str">
        <f>IF(ISNUMBER(IF(J_V="SI",Datos!L12,Datos!L12+Datos!AB12)-IF(Monitorios="SI",Datos!CD12,0)),
                          IF(J_V="SI",Datos!L12,Datos!L12+Datos!AB12)-IF(Monitorios="SI",Datos!CD12,0),
                          " - ")</f>
        <v xml:space="preserve"> - </v>
      </c>
      <c r="AB12" s="334"/>
      <c r="AC12" s="334"/>
      <c r="AD12" s="484"/>
      <c r="AE12" s="484">
        <f>IF(ISNUMBER(Datos!R12),Datos!R12," - ")</f>
        <v>9810</v>
      </c>
      <c r="AF12" s="229" t="str">
        <f>IF(ISNUMBER(Datos!BV12),Datos!BV12," - ")</f>
        <v xml:space="preserve"> - </v>
      </c>
      <c r="AG12" s="225" t="str">
        <f>IF(ISNUMBER(Datos!DV12),Datos!DV12," - ")</f>
        <v xml:space="preserve"> - </v>
      </c>
      <c r="AH12" s="298"/>
      <c r="AI12" s="227"/>
      <c r="AJ12" s="225">
        <f>IF(ISNUMBER(Datos!M12),Datos!M12," - ")</f>
        <v>1387</v>
      </c>
      <c r="AK12" s="229">
        <f>IF(ISNUMBER(Datos!N12),Datos!N12," - ")</f>
        <v>5449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11.421686746987952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6.2838569880823397E-2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139</v>
      </c>
      <c r="G13" s="898">
        <f>SUBTOTAL(9,G8:G12)</f>
        <v>139</v>
      </c>
      <c r="H13" s="908"/>
      <c r="I13" s="898">
        <f t="shared" ref="I13:N13" si="0">SUBTOTAL(9,I8:I12)</f>
        <v>0</v>
      </c>
      <c r="J13" s="867">
        <f t="shared" si="0"/>
        <v>0</v>
      </c>
      <c r="K13" s="908">
        <f t="shared" si="0"/>
        <v>0</v>
      </c>
      <c r="L13" s="908">
        <f t="shared" si="0"/>
        <v>0</v>
      </c>
      <c r="M13" s="908">
        <f t="shared" si="0"/>
        <v>0</v>
      </c>
      <c r="N13" s="908">
        <f t="shared" si="0"/>
        <v>1539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959</v>
      </c>
      <c r="AA13" s="900">
        <f t="shared" si="2"/>
        <v>144</v>
      </c>
      <c r="AB13" s="900">
        <f t="shared" si="2"/>
        <v>0</v>
      </c>
      <c r="AC13" s="900">
        <f t="shared" si="2"/>
        <v>0</v>
      </c>
      <c r="AD13" s="900">
        <f t="shared" si="2"/>
        <v>0</v>
      </c>
      <c r="AE13" s="900">
        <f t="shared" si="2"/>
        <v>9876</v>
      </c>
      <c r="AF13" s="908">
        <f t="shared" si="2"/>
        <v>0</v>
      </c>
      <c r="AG13" s="908">
        <f t="shared" si="2"/>
        <v>0</v>
      </c>
      <c r="AH13" s="908">
        <f t="shared" si="2"/>
        <v>0</v>
      </c>
      <c r="AI13" s="908">
        <f t="shared" si="2"/>
        <v>0</v>
      </c>
      <c r="AJ13" s="908">
        <f t="shared" si="2"/>
        <v>1422</v>
      </c>
      <c r="AK13" s="908">
        <f t="shared" si="2"/>
        <v>5474</v>
      </c>
      <c r="AL13" s="908">
        <f t="shared" si="2"/>
        <v>0</v>
      </c>
      <c r="AM13" s="908">
        <f t="shared" si="2"/>
        <v>0</v>
      </c>
      <c r="AN13" s="908">
        <f t="shared" si="2"/>
        <v>0</v>
      </c>
      <c r="AO13" s="904">
        <f>IF(ISNUMBER(((NºAsuntos!I13/NºAsuntos!G13)*11)/factor_trimestre),((NºAsuntos!I13/NºAsuntos!G13)*11)/factor_trimestre," - ")</f>
        <v>11.500706137968496</v>
      </c>
      <c r="AP13" s="910" t="str">
        <f>IF(ISNUMBER(Datos!CI13/Datos!CJ13),Datos!CI13/Datos!CJ13," - ")</f>
        <v xml:space="preserve"> - </v>
      </c>
      <c r="AQ13" s="928">
        <f t="shared" ref="AQ13:AV13" si="3">SUBTOTAL(9,AQ9:AQ12)</f>
        <v>0</v>
      </c>
      <c r="AR13" s="928">
        <f t="shared" si="3"/>
        <v>6.2838569880823397E-2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1822</v>
      </c>
      <c r="G16" s="225">
        <f>IF(ISNUMBER(IF(D_I="SI",Datos!I16,Datos!I16+Datos!AC16)),IF(D_I="SI",Datos!I16,Datos!I16+Datos!AC16)," - ")</f>
        <v>1629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7184</v>
      </c>
      <c r="Z16" s="619">
        <f>IF(ISNUMBER(Datos!Q16),Datos!Q16," - ")</f>
        <v>262</v>
      </c>
      <c r="AA16" s="332">
        <f>IF(ISNUMBER(IF(D_I="SI",Datos!L16,Datos!L16+Datos!AF16)),IF(D_I="SI",Datos!L16,Datos!L16+Datos!AF16)," - ")</f>
        <v>2048</v>
      </c>
      <c r="AB16" s="334"/>
      <c r="AC16" s="334"/>
      <c r="AD16" s="484"/>
      <c r="AE16" s="484">
        <f>IF(ISNUMBER(Datos!R16),Datos!R16," - ")</f>
        <v>201</v>
      </c>
      <c r="AF16" s="229" t="str">
        <f>IF(ISNUMBER(Datos!BV16),Datos!BV16," - ")</f>
        <v xml:space="preserve"> - </v>
      </c>
      <c r="AG16" s="225"/>
      <c r="AH16" s="298"/>
      <c r="AI16" s="227"/>
      <c r="AJ16" s="225">
        <f>IF(ISNUMBER(Datos!M16),Datos!M16," - ")</f>
        <v>708</v>
      </c>
      <c r="AK16" s="229">
        <f>IF(ISNUMBER(Datos!N16),Datos!N16," - ")</f>
        <v>4800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3.1358574610244987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688</v>
      </c>
      <c r="Z17" s="619">
        <f>IF(ISNUMBER(Datos!Q17),Datos!Q17," - ")</f>
        <v>2</v>
      </c>
      <c r="AA17" s="332">
        <f>IF(ISNUMBER(Datos!L17),Datos!L17,"-")</f>
        <v>183</v>
      </c>
      <c r="AB17" s="334"/>
      <c r="AC17" s="334"/>
      <c r="AD17" s="484"/>
      <c r="AE17" s="484">
        <f>IF(ISNUMBER(Datos!R17),Datos!R17," - ")</f>
        <v>20</v>
      </c>
      <c r="AF17" s="229" t="str">
        <f>IF(ISNUMBER(Datos!BV17),Datos!BV17," - ")</f>
        <v xml:space="preserve"> - </v>
      </c>
      <c r="AG17" s="225" t="str">
        <f>IF(ISNUMBER(Datos!DV17),Datos!DV17," - ")</f>
        <v xml:space="preserve"> - </v>
      </c>
      <c r="AH17" s="298"/>
      <c r="AI17" s="227"/>
      <c r="AJ17" s="225">
        <f>IF(ISNUMBER(Datos!M17),Datos!M17," - ")</f>
        <v>48</v>
      </c>
      <c r="AK17" s="229">
        <f>IF(ISNUMBER(Datos!N17),Datos!N17," - ")</f>
        <v>408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2.9258720930232553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1822</v>
      </c>
      <c r="G18" s="898">
        <f>SUBTOTAL(9,G15:G17)</f>
        <v>1858</v>
      </c>
      <c r="H18" s="932">
        <f>SUBTOTAL(9,H15:H17)</f>
        <v>0</v>
      </c>
      <c r="I18" s="911">
        <f>SUBTOTAL(9,I15:I17)</f>
        <v>0</v>
      </c>
      <c r="J18" s="867">
        <f>SUBTOTAL(9,J14:J17)</f>
        <v>0</v>
      </c>
      <c r="K18" s="932">
        <f t="shared" ref="K18:S18" si="4">SUBTOTAL(9,K15:K17)</f>
        <v>0</v>
      </c>
      <c r="L18" s="932">
        <f t="shared" si="4"/>
        <v>0</v>
      </c>
      <c r="M18" s="932">
        <f t="shared" si="4"/>
        <v>0</v>
      </c>
      <c r="N18" s="932">
        <f t="shared" si="4"/>
        <v>211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7872</v>
      </c>
      <c r="Z18" s="932">
        <f t="shared" si="5"/>
        <v>264</v>
      </c>
      <c r="AA18" s="932">
        <f t="shared" si="5"/>
        <v>2231</v>
      </c>
      <c r="AB18" s="932">
        <f t="shared" si="5"/>
        <v>0</v>
      </c>
      <c r="AC18" s="932">
        <f t="shared" si="5"/>
        <v>0</v>
      </c>
      <c r="AD18" s="932">
        <f t="shared" si="5"/>
        <v>0</v>
      </c>
      <c r="AE18" s="932">
        <f t="shared" si="5"/>
        <v>221</v>
      </c>
      <c r="AF18" s="932">
        <f t="shared" si="5"/>
        <v>0</v>
      </c>
      <c r="AG18" s="932">
        <f t="shared" si="5"/>
        <v>0</v>
      </c>
      <c r="AH18" s="932">
        <f t="shared" si="5"/>
        <v>0</v>
      </c>
      <c r="AI18" s="932">
        <f t="shared" si="5"/>
        <v>0</v>
      </c>
      <c r="AJ18" s="932">
        <f t="shared" si="5"/>
        <v>756</v>
      </c>
      <c r="AK18" s="932">
        <f t="shared" si="5"/>
        <v>5208</v>
      </c>
      <c r="AL18" s="932">
        <f t="shared" si="5"/>
        <v>0</v>
      </c>
      <c r="AM18" s="932">
        <f t="shared" si="5"/>
        <v>0</v>
      </c>
      <c r="AN18" s="932">
        <f t="shared" si="5"/>
        <v>0</v>
      </c>
      <c r="AO18" s="934">
        <f>IF(ISNUMBER(((NºAsuntos!I18/NºAsuntos!G18)*11)/factor_trimestre),((NºAsuntos!I18/NºAsuntos!G18)*11)/factor_trimestre," - ")</f>
        <v>3.1175050813008127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1961</v>
      </c>
      <c r="G19" s="820">
        <f t="shared" si="7"/>
        <v>1997</v>
      </c>
      <c r="H19" s="821">
        <f t="shared" si="7"/>
        <v>0</v>
      </c>
      <c r="I19" s="820">
        <f t="shared" si="7"/>
        <v>0</v>
      </c>
      <c r="J19" s="822">
        <f t="shared" si="7"/>
        <v>0</v>
      </c>
      <c r="K19" s="820">
        <f t="shared" si="7"/>
        <v>0</v>
      </c>
      <c r="L19" s="823">
        <f t="shared" si="7"/>
        <v>0</v>
      </c>
      <c r="M19" s="820">
        <f t="shared" si="7"/>
        <v>0</v>
      </c>
      <c r="N19" s="821">
        <f t="shared" si="7"/>
        <v>1750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7947</v>
      </c>
      <c r="Z19" s="827">
        <f t="shared" si="8"/>
        <v>1223</v>
      </c>
      <c r="AA19" s="828">
        <f t="shared" si="8"/>
        <v>2375</v>
      </c>
      <c r="AB19" s="828">
        <f t="shared" si="8"/>
        <v>0</v>
      </c>
      <c r="AC19" s="828">
        <f t="shared" si="8"/>
        <v>0</v>
      </c>
      <c r="AD19" s="829">
        <f t="shared" si="8"/>
        <v>0</v>
      </c>
      <c r="AE19" s="829">
        <f t="shared" si="8"/>
        <v>10097</v>
      </c>
      <c r="AF19" s="830">
        <f t="shared" si="8"/>
        <v>0</v>
      </c>
      <c r="AG19" s="831">
        <f t="shared" si="8"/>
        <v>0</v>
      </c>
      <c r="AH19" s="832">
        <f t="shared" si="8"/>
        <v>0</v>
      </c>
      <c r="AI19" s="830">
        <f t="shared" si="8"/>
        <v>0</v>
      </c>
      <c r="AJ19" s="820">
        <f t="shared" si="8"/>
        <v>2178</v>
      </c>
      <c r="AK19" s="820">
        <f t="shared" si="8"/>
        <v>10682</v>
      </c>
      <c r="AL19" s="820">
        <f t="shared" si="8"/>
        <v>0</v>
      </c>
      <c r="AM19" s="833">
        <f t="shared" si="8"/>
        <v>0</v>
      </c>
      <c r="AN19" s="823">
        <f>IF(ISNUMBER(Datos!K19/Datos!J19),Datos!K19/Datos!J19," - ")</f>
        <v>0.9153921063183823</v>
      </c>
      <c r="AO19" s="823">
        <f>IF(ISNUMBER(FIND("06",Criterios!A8,1)),(IF(ISNUMBER(((Datos!R19/Datos!Q19)*11)/factor_trimestre),((Datos!R19/Datos!Q19)*11)/factor_trimestre," - ")),(IF(ISNUMBER(((Datos!L19/Datos!K19)*11)/factor_trimestre),((Datos!L19/Datos!K19)*11)/factor_trimestre," - ")))</f>
        <v>7.994618272841052</v>
      </c>
      <c r="AP19" s="834" t="str">
        <f>IF(ISNUMBER(Datos!CI19/Datos!CJ19),Datos!CI19/Datos!CJ19," - ")</f>
        <v xml:space="preserve"> - </v>
      </c>
      <c r="AQ19" s="834">
        <f>IF(OR(ISNUMBER(FIND("01",Criterios!A8,1)),ISNUMBER(FIND("02",Criterios!A8,1)),ISNUMBER(FIND("03",Criterios!A8,1)),ISNUMBER(FIND("04",Criterios!A8,1))),(J19-Y19+K19)/(F19-K19),(I19-Y19+K19)/(F19-K19))</f>
        <v>-4.0525242223355429</v>
      </c>
      <c r="AR19" s="834">
        <f>IF(ISNUMBER((Datos!P19-Datos!Q19+O19)/(Datos!R19-Datos!P19+Datos!Q19-O19)),(Datos!P19-Datos!Q19+O19)/(Datos!R19-Datos!P19+Datos!Q19-O19)," - ")</f>
        <v>5.5067920585161967E-2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971.68050304614019</v>
      </c>
      <c r="G21" s="552">
        <f>IF(ISNUMBER(STDEV(G8:G18)),STDEV(G8:G18),"-")</f>
        <v>866.96032204478649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609.87310155474142</v>
      </c>
      <c r="AK21" s="252"/>
      <c r="AL21" s="252">
        <f>IF(ISNUMBER(STDEV(AL8:AL18)),STDEV(AL8:AL18),"-")</f>
        <v>0</v>
      </c>
      <c r="AM21" s="254">
        <f>IF(ISNUMBER(STDEV(AM8:AM18)),STDEV(AM8:AM18),"-")</f>
        <v>0</v>
      </c>
      <c r="AN21" s="539">
        <f>IF(ISNUMBER(STDEV(AN8:AN18)),STDEV(AN8:AN18),"-")</f>
        <v>0</v>
      </c>
      <c r="AO21" s="540">
        <f>IF(ISNUMBER(STDEV(AO8:AO18)),STDEV(AO8:AO18),"-")</f>
        <v>7.2773410613915406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E9uJlEEyu768wNtYj+fntrMfDD1GaCOdhYfpQdY3YvL7RrSE+pa4BWah4+qJXqxog7LSCh/3nz1ElRCaUwwdQ==" saltValue="LAumGn7+RrzVe9Qa6jRX4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znYvFAtBf9ymyEWFtrvrhv4ariN353qazrR52OTNZPSz1bJdi7qybHL9PU1w4RAjAoPMLuqaNl/kR1oNk9sbA==" saltValue="kid36E06/1MOtiiYWs3W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r3hkXKP/m34FDY9xJOc1wAZorhNVfOzg75BXMslpj5r2bTSqGT1cttQFppldds8A0HtLqlZJEHEGSltuQ/hsg==" saltValue="xMFaL+osi6VbHbL9YYRN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0.15448126018468225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0.10923474664283223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pcnaGW2ZlvZeCmCR8LmO40GvPpZ9LNXzAuqYC29vuqKITivV57IrMMVh0KMFb5Fv17roUFWvTYdxEhelcDxA==" saltValue="FJ5wT6PHtwHDaxN9LJhY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Eooa/Tl4X/GdUVg/3rMedIRVl+aUvZUeqPNgTaKnvVJSt3lA9Cqd4UfRKujhTnQjuSlFnAmFtkPFCK20oBagQ==" saltValue="UETzRml+BVkbsERukxA7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VALDEMORO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139</v>
      </c>
      <c r="D10" s="404">
        <f>IF(ISNUMBER(C10/Datos!BH10),C10/Datos!BH10," - ")</f>
        <v>139</v>
      </c>
      <c r="E10" s="403">
        <f>IF(ISNUMBER(Datos!J10),Datos!J10," - ")</f>
        <v>80</v>
      </c>
      <c r="F10" s="404">
        <f>IF(ISNUMBER(E10/B10),E10/B10," - ")</f>
        <v>80</v>
      </c>
      <c r="G10" s="403">
        <f>IF(ISNUMBER(Datos!K10),Datos!K10," - ")</f>
        <v>75</v>
      </c>
      <c r="H10" s="404">
        <f>IF(ISNUMBER(G10/B10),G10/B10," - ")</f>
        <v>75</v>
      </c>
      <c r="I10" s="403">
        <f>IF(ISNUMBER(Datos!L10),Datos!L10," - ")</f>
        <v>144</v>
      </c>
      <c r="J10" s="404">
        <f>IF(ISNUMBER(I10/B10),I10/B10," - ")</f>
        <v>144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8100</v>
      </c>
      <c r="D12" s="404">
        <f>IF(ISNUMBER(C12/Datos!BH12),C12/Datos!BH12," - ")</f>
        <v>1012.5</v>
      </c>
      <c r="E12" s="403">
        <f>IF(ISNUMBER(IF(J_V="SI",Datos!J12,Datos!J12+Datos!Z12)),IF(J_V="SI",Datos!J12,Datos!J12+Datos!Z12)," - ")</f>
        <v>10401</v>
      </c>
      <c r="F12" s="404">
        <f>IF(ISNUMBER(E12/B12),E12/B12," - ")</f>
        <v>1300.125</v>
      </c>
      <c r="G12" s="403">
        <f>IF(ISNUMBER(IF(J_V="SI",Datos!K12,Datos!K12+Datos!AA12)),IF(J_V="SI",Datos!K12,Datos!K12+Datos!AA12)," - ")</f>
        <v>9130</v>
      </c>
      <c r="H12" s="404">
        <f>IF(ISNUMBER(G12/B12),G12/B12," - ")</f>
        <v>1141.25</v>
      </c>
      <c r="I12" s="403">
        <f>IF(ISNUMBER(IF(J_V="SI",Datos!L12,Datos!L12+Datos!AB12)),IF(J_V="SI",Datos!L12,Datos!L12+Datos!AB12)," - ")</f>
        <v>9480</v>
      </c>
      <c r="J12" s="404">
        <f>IF(ISNUMBER(I12/B12),I12/B12," - ")</f>
        <v>1185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8239</v>
      </c>
      <c r="D13" s="850" t="str">
        <f>IF(ISNUMBER(C13/Datos!BI13),C13/Datos!BI13," - ")</f>
        <v xml:space="preserve"> - </v>
      </c>
      <c r="E13" s="849">
        <f>SUBTOTAL(9,E8:E12)</f>
        <v>10481</v>
      </c>
      <c r="F13" s="850">
        <f>IF(ISNUMBER(E13/B13),E13/B13," - ")</f>
        <v>1310.125</v>
      </c>
      <c r="G13" s="849">
        <f>SUBTOTAL(9,G8:G12)</f>
        <v>9205</v>
      </c>
      <c r="H13" s="850">
        <f>IF(ISNUMBER(G13/B13),G13/B13," - ")</f>
        <v>1150.625</v>
      </c>
      <c r="I13" s="849">
        <f>SUBTOTAL(9,I8:I12)</f>
        <v>9624</v>
      </c>
      <c r="J13" s="850">
        <f>IF(ISNUMBER(I13/B13),I13/B13," - ")</f>
        <v>1203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1629</v>
      </c>
      <c r="D16" s="404">
        <f>IF(ISNUMBER(C16/Datos!BH16),C16/Datos!BH16," - ")</f>
        <v>203.625</v>
      </c>
      <c r="E16" s="403">
        <f>IF(ISNUMBER(IF(D_I="SI",Datos!J16,Datos!J16+Datos!AD16)),IF(D_I="SI",Datos!J16,Datos!J16+Datos!AD16)," - ")</f>
        <v>7410</v>
      </c>
      <c r="F16" s="404">
        <f>IF(ISNUMBER(E16/B16),E16/B16," - ")</f>
        <v>926.25</v>
      </c>
      <c r="G16" s="403">
        <f>IF(ISNUMBER(IF(D_I="SI",Datos!K16,Datos!K16+Datos!AE16)),IF(D_I="SI",Datos!K16,Datos!K16+Datos!AE16)," - ")</f>
        <v>7184</v>
      </c>
      <c r="H16" s="404">
        <f>IF(ISNUMBER(G16/B16),G16/B16," - ")</f>
        <v>898</v>
      </c>
      <c r="I16" s="403">
        <f>IF(ISNUMBER(IF(D_I="SI",Datos!L16,Datos!L16+Datos!AF16)),IF(D_I="SI",Datos!L16,Datos!L16+Datos!AF16)," - ")</f>
        <v>2048</v>
      </c>
      <c r="J16" s="404">
        <f>IF(ISNUMBER(I16/B16),I16/B16," - ")</f>
        <v>256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229</v>
      </c>
      <c r="D17" s="404">
        <f>IF(ISNUMBER(C17/Datos!BH17),C17/Datos!BH17," - ")</f>
        <v>229</v>
      </c>
      <c r="E17" s="403">
        <f>IF(ISNUMBER(IF(D_I="SI",Datos!J17,Datos!J17+Datos!AD17)),IF(D_I="SI",Datos!J17,Datos!J17+Datos!AD17)," - ")</f>
        <v>644</v>
      </c>
      <c r="F17" s="404">
        <f>IF(ISNUMBER(E17/B17),E17/B17," - ")</f>
        <v>644</v>
      </c>
      <c r="G17" s="403">
        <f>IF(ISNUMBER(IF(D_I="SI",Datos!K17,Datos!K17+Datos!AE17)),IF(D_I="SI",Datos!K17,Datos!K17+Datos!AE17)," - ")</f>
        <v>688</v>
      </c>
      <c r="H17" s="404">
        <f>IF(ISNUMBER(G17/B17),G17/B17," - ")</f>
        <v>688</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1858</v>
      </c>
      <c r="D18" s="850" t="str">
        <f>IF(ISNUMBER(C18/Datos!BI18),C18/Datos!BI18," - ")</f>
        <v xml:space="preserve"> - </v>
      </c>
      <c r="E18" s="849">
        <f>SUBTOTAL(9,E14:E17)</f>
        <v>8054</v>
      </c>
      <c r="F18" s="850">
        <f>IF(ISNUMBER(E18/B18),E18/B18," - ")</f>
        <v>1006.75</v>
      </c>
      <c r="G18" s="849">
        <f>SUBTOTAL(9,G14:G17)</f>
        <v>7872</v>
      </c>
      <c r="H18" s="850">
        <f>IF(ISNUMBER(G18/B18),G18/B18," - ")</f>
        <v>984</v>
      </c>
      <c r="I18" s="849">
        <f>SUBTOTAL(9,I14:I17)</f>
        <v>2231</v>
      </c>
      <c r="J18" s="850">
        <f>IF(ISNUMBER(I18/B18),I18/B18," - ")</f>
        <v>278.875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10097</v>
      </c>
      <c r="D19" s="795" t="str">
        <f>IF(ISNUMBER(C19/Datos!BI19),C19/Datos!BI19," - ")</f>
        <v xml:space="preserve"> - </v>
      </c>
      <c r="E19" s="794">
        <f>SUBTOTAL(9,E9:E18)</f>
        <v>18535</v>
      </c>
      <c r="F19" s="795">
        <f>IF(ISNUMBER(E19/B19),E19/B19," - ")</f>
        <v>2316.875</v>
      </c>
      <c r="G19" s="794">
        <f>SUBTOTAL(9,G9:G18)</f>
        <v>17077</v>
      </c>
      <c r="H19" s="795">
        <f>IF(ISNUMBER(G19/B19),G19/B19," - ")</f>
        <v>2134.625</v>
      </c>
      <c r="I19" s="794">
        <f>SUBTOTAL(9,I9:I18)</f>
        <v>11855</v>
      </c>
      <c r="J19" s="795">
        <f>IF(ISNUMBER(I19/B19),I19/B19," - ")</f>
        <v>1481.875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jsZRjzl3rXRpX2FLk3hJ1RErX0kdFCd2D/JmOdlnjgP6V9tB1vNYJCc/+j/2iPzxNcI18gKlYNpWb4CDColgA==" saltValue="5byY/ejl2BrNfnFMWJqq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VALDEMORO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139</v>
      </c>
      <c r="G10" s="684">
        <f>IF(ISNUMBER(Datos!I10),Datos!I10," - ")</f>
        <v>139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144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35</v>
      </c>
      <c r="AM10" s="690">
        <f>IF(ISNUMBER(Datos!N10+DatosP!N17),Datos!N10+DatosP!N17," - ")</f>
        <v>25</v>
      </c>
      <c r="AN10" s="690">
        <f>IF(ISNUMBER(Datos!BW10+DatosP!BW17),Datos!BW10+DatosP!BW17," - ")</f>
        <v>0</v>
      </c>
      <c r="AO10" s="691">
        <f>IF(ISNUMBER(Datos!BX10+DatosP!BX17),Datos!BX10+DatosP!BX17," - ")</f>
        <v>0</v>
      </c>
      <c r="AP10" s="693">
        <f>IF(ISNUMBER(((Datos!L10/Datos!K10)*11)/factor_trimestre),((Datos!L10/Datos!K10)*11)/factor_trimestre," - ")</f>
        <v>21.119999999999997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9810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1387</v>
      </c>
      <c r="AM12" s="690">
        <f>IF(ISNUMBER(Datos!N12+DatosP!N16),Datos!N12+DatosP!N16," - ")</f>
        <v>5449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11.421686746987952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6.2838569880823397E-2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139</v>
      </c>
      <c r="G13" s="938">
        <f t="shared" si="0"/>
        <v>139</v>
      </c>
      <c r="H13" s="938">
        <f t="shared" si="0"/>
        <v>0</v>
      </c>
      <c r="I13" s="940">
        <f t="shared" si="0"/>
        <v>0</v>
      </c>
      <c r="J13" s="939">
        <f t="shared" si="0"/>
        <v>0</v>
      </c>
      <c r="K13" s="939">
        <f t="shared" si="0"/>
        <v>0</v>
      </c>
      <c r="L13" s="941">
        <f t="shared" si="0"/>
        <v>0</v>
      </c>
      <c r="M13" s="941">
        <f t="shared" si="0"/>
        <v>0</v>
      </c>
      <c r="N13" s="939">
        <f t="shared" si="0"/>
        <v>1539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953</v>
      </c>
      <c r="AE13" s="939">
        <f t="shared" si="1"/>
        <v>0</v>
      </c>
      <c r="AF13" s="939">
        <f t="shared" si="1"/>
        <v>144</v>
      </c>
      <c r="AG13" s="939">
        <f t="shared" si="1"/>
        <v>0</v>
      </c>
      <c r="AH13" s="939">
        <f t="shared" si="1"/>
        <v>9810</v>
      </c>
      <c r="AI13" s="939">
        <f t="shared" si="1"/>
        <v>0</v>
      </c>
      <c r="AJ13" s="939">
        <f t="shared" si="1"/>
        <v>0</v>
      </c>
      <c r="AK13" s="939">
        <f t="shared" si="1"/>
        <v>0</v>
      </c>
      <c r="AL13" s="939">
        <f t="shared" si="1"/>
        <v>1422</v>
      </c>
      <c r="AM13" s="939">
        <f t="shared" si="1"/>
        <v>5474</v>
      </c>
      <c r="AN13" s="939">
        <f t="shared" si="1"/>
        <v>0</v>
      </c>
      <c r="AO13" s="939">
        <f t="shared" si="1"/>
        <v>0</v>
      </c>
      <c r="AP13" s="944">
        <f>IF(ISNUMBER(((Datos!L13/Datos!K13)*11)/factor_trimestre),((Datos!L13/Datos!K13)*11)/factor_trimestre," - ")</f>
        <v>12.729773063640849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-0.53956834532374098</v>
      </c>
      <c r="AU13" s="939" t="str">
        <f>IF(ISNUMBER((DatosP!#REF!-DatosP!#REF!+DatosP!#REF!)/(DatosP!#REF!+DatosP!#REF!-DatosP!#REF!-DatosP!#REF!)),(DatosP!#REF!-DatosP!#REF!+DatosP!#REF!)/(DatosP!#REF!+DatosP!#REF!-DatosP!#REF!-DatosP!#REF!)," - ")</f>
        <v xml:space="preserve"> - </v>
      </c>
      <c r="AV13" s="945">
        <f>SUBTOTAL(9,AV9:AV12)</f>
        <v>6.2838569880823397E-2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3.1175050813008127</v>
      </c>
      <c r="AQ18" s="944">
        <f>IF(ISNUMBER(((Datos!M18/Datos!L18)*11)/factor_trimestre),((Datos!M18/Datos!L18)*11)/factor_trimestre," - ")</f>
        <v>3.7274764679515915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-0.19343065693430658</v>
      </c>
      <c r="AW18" s="946">
        <f>IF(ISNUMBER((Datos!Q18-Datos!R18)/(Datos!S18-Datos!Q18+Datos!R18)),(Datos!Q18-Datos!R18)/(Datos!S18-Datos!Q18+Datos!R18)," - ")</f>
        <v>2.4307518371961559E-2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139</v>
      </c>
      <c r="G19" s="951">
        <f t="shared" si="4"/>
        <v>139</v>
      </c>
      <c r="H19" s="951">
        <f t="shared" si="4"/>
        <v>0</v>
      </c>
      <c r="I19" s="952">
        <f t="shared" si="4"/>
        <v>0</v>
      </c>
      <c r="J19" s="953">
        <f t="shared" si="4"/>
        <v>0</v>
      </c>
      <c r="K19" s="953">
        <f t="shared" si="4"/>
        <v>0</v>
      </c>
      <c r="L19" s="953">
        <f t="shared" si="4"/>
        <v>0</v>
      </c>
      <c r="M19" s="953">
        <f t="shared" si="4"/>
        <v>0</v>
      </c>
      <c r="N19" s="952">
        <f t="shared" si="4"/>
        <v>1539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953</v>
      </c>
      <c r="AE19" s="957">
        <f t="shared" si="5"/>
        <v>0</v>
      </c>
      <c r="AF19" s="958">
        <f t="shared" si="5"/>
        <v>144</v>
      </c>
      <c r="AG19" s="958">
        <f t="shared" si="5"/>
        <v>0</v>
      </c>
      <c r="AH19" s="958">
        <f t="shared" si="5"/>
        <v>9810</v>
      </c>
      <c r="AI19" s="958">
        <f t="shared" si="5"/>
        <v>0</v>
      </c>
      <c r="AJ19" s="959">
        <f t="shared" si="5"/>
        <v>0</v>
      </c>
      <c r="AK19" s="959">
        <f t="shared" si="5"/>
        <v>0</v>
      </c>
      <c r="AL19" s="951">
        <f t="shared" si="5"/>
        <v>1422</v>
      </c>
      <c r="AM19" s="951">
        <f t="shared" si="5"/>
        <v>5474</v>
      </c>
      <c r="AN19" s="951">
        <f t="shared" si="5"/>
        <v>0</v>
      </c>
      <c r="AO19" s="951">
        <f t="shared" si="5"/>
        <v>0</v>
      </c>
      <c r="AP19" s="951">
        <f>IF(ISNUMBER(((Datos!L19/Datos!K19)*11)/factor_trimestre),((Datos!L19/Datos!K19)*11)/factor_trimestre," - ")</f>
        <v>7.994618272841052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-0.53956834532374098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5.5067920585161967E-2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80.251687417357985</v>
      </c>
      <c r="G21" s="737">
        <f>IF(ISNUMBER(STDEV(G8:G18)),STDEV(G8:G18),"-")</f>
        <v>80.251687417357985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801.03974100332039</v>
      </c>
      <c r="AM21" s="736"/>
      <c r="AN21" s="736">
        <f>IF(ISNUMBER(STDEV(AN8:AN18)),STDEV(AN8:AN18),"-")</f>
        <v>0</v>
      </c>
      <c r="AO21" s="742">
        <f>IF(ISNUMBER(STDEV(AO8:AO18)),STDEV(AO8:AO18),"-")</f>
        <v>0</v>
      </c>
      <c r="AP21" s="779">
        <f>IF(ISNUMBER(STDEV(AP8:AP18)),STDEV(AP8:AP18),"-")</f>
        <v>7.3689055610258558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BGTVbZKnTQW5QvWxlu8wRr/mz2DsYGhIFIy08HzAh6+foMw7+F4H9lERkN96XrKFk0Qx03TIfsDaBlNO5A+5Q==" saltValue="JFDlOWi6EduUwHUJfZ2c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VALDEMORO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FXrwru5NK+TEXT90tdPqczmuopd8meui1dHdbmgt8HIi45CfKKS9qJh/NRcy0+Jf/xYYnbyEUz/R+eloShMcg==" saltValue="7GY9sscNdz7FCliIeVxG6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VALDEMORO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35</v>
      </c>
      <c r="E10" s="404">
        <f>IF(ISNUMBER(D10/B10),D10/B10," - ")</f>
        <v>35</v>
      </c>
      <c r="F10" s="403">
        <f>IF(ISNUMBER(Datos!N10),Datos!N10," - ")</f>
        <v>25</v>
      </c>
      <c r="G10" s="404">
        <f>IF(ISNUMBER(F10/B10),F10/B10," - ")</f>
        <v>25</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1387</v>
      </c>
      <c r="E12" s="404">
        <f t="shared" si="0"/>
        <v>173.375</v>
      </c>
      <c r="F12" s="403">
        <f>IF(ISNUMBER(Datos!N12),Datos!N12," - ")</f>
        <v>5449</v>
      </c>
      <c r="G12" s="404">
        <f t="shared" si="1"/>
        <v>681.125</v>
      </c>
      <c r="H12" s="403">
        <f>IF(ISNUMBER(Datos!O12),Datos!O12," - ")</f>
        <v>2619</v>
      </c>
      <c r="I12" s="404">
        <f t="shared" si="2"/>
        <v>327.375</v>
      </c>
      <c r="BZ12" s="1186">
        <f>Datos!EZ12</f>
        <v>0</v>
      </c>
    </row>
    <row r="13" spans="1:78" ht="14.25" thickTop="1" thickBot="1">
      <c r="A13" s="848" t="str">
        <f>Datos!A13</f>
        <v>TOTAL</v>
      </c>
      <c r="B13" s="849">
        <f>Datos!AP13</f>
        <v>8</v>
      </c>
      <c r="C13" s="851">
        <f>Datos!AR13</f>
        <v>8</v>
      </c>
      <c r="D13" s="849">
        <f>SUBTOTAL(9,D9:D12)</f>
        <v>1422</v>
      </c>
      <c r="E13" s="850">
        <f t="shared" si="0"/>
        <v>177.75</v>
      </c>
      <c r="F13" s="849">
        <f>SUBTOTAL(9,F9:F12)</f>
        <v>5474</v>
      </c>
      <c r="G13" s="850">
        <f t="shared" si="1"/>
        <v>684.25</v>
      </c>
      <c r="H13" s="849">
        <f>SUBTOTAL(9,H9:H12)</f>
        <v>2630</v>
      </c>
      <c r="I13" s="850">
        <f>IF(ISNUMBER(H13/B13),H13/B13," - ")</f>
        <v>328.75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708</v>
      </c>
      <c r="E16" s="404">
        <f t="shared" si="3"/>
        <v>88.5</v>
      </c>
      <c r="F16" s="403">
        <f>IF(ISNUMBER(Datos!N16),Datos!N16," - ")</f>
        <v>4800</v>
      </c>
      <c r="G16" s="404">
        <f t="shared" si="4"/>
        <v>600</v>
      </c>
      <c r="H16" s="403">
        <f>IF(ISNUMBER(Datos!O16),Datos!O16," - ")</f>
        <v>37</v>
      </c>
      <c r="I16" s="404">
        <f t="shared" si="5"/>
        <v>4.625</v>
      </c>
      <c r="BZ16" s="1186">
        <f>Datos!EZ16</f>
        <v>0</v>
      </c>
    </row>
    <row r="17" spans="1:78" ht="13.5" thickBot="1">
      <c r="A17" s="402" t="str">
        <f>Datos!A17</f>
        <v>Jdos. Violencia contra la mujer</v>
      </c>
      <c r="B17" s="427">
        <f>Datos!AO17</f>
        <v>1</v>
      </c>
      <c r="C17" s="428">
        <f>Datos!AQ17</f>
        <v>0</v>
      </c>
      <c r="D17" s="403">
        <f>IF(ISNUMBER(Datos!M17),Datos!M17," - ")</f>
        <v>48</v>
      </c>
      <c r="E17" s="404">
        <f>IF(ISNUMBER(D17/B17),D17/B17," - ")</f>
        <v>48</v>
      </c>
      <c r="F17" s="403">
        <f>IF(ISNUMBER(Datos!N17),Datos!N17," - ")</f>
        <v>408</v>
      </c>
      <c r="G17" s="404">
        <f>IF(ISNUMBER(F17/B17),F17/B17," - ")</f>
        <v>408</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756</v>
      </c>
      <c r="E18" s="850">
        <f t="shared" si="3"/>
        <v>94.5</v>
      </c>
      <c r="F18" s="849">
        <f>SUBTOTAL(9,F15:F17)</f>
        <v>5208</v>
      </c>
      <c r="G18" s="850">
        <f t="shared" si="4"/>
        <v>651</v>
      </c>
      <c r="H18" s="849">
        <f>SUBTOTAL(9,H15:H17)</f>
        <v>37</v>
      </c>
      <c r="I18" s="850">
        <f>IF(ISNUMBER(H18/B18),H18/B18," - ")</f>
        <v>4.625</v>
      </c>
      <c r="BZ18" s="1186"/>
    </row>
    <row r="19" spans="1:78" ht="14.25" thickTop="1" thickBot="1">
      <c r="A19" s="793" t="str">
        <f>Datos!A19</f>
        <v>TOTAL JURISDICCIONES</v>
      </c>
      <c r="B19" s="794">
        <f>Datos!AP19</f>
        <v>8</v>
      </c>
      <c r="C19" s="794">
        <f>Datos!AR19</f>
        <v>8</v>
      </c>
      <c r="D19" s="794">
        <f>SUBTOTAL(9,D8:D18)</f>
        <v>2178</v>
      </c>
      <c r="E19" s="795">
        <f>IF(ISNUMBER(D19/B19),D19/B19," - ")</f>
        <v>272.25</v>
      </c>
      <c r="F19" s="794">
        <f>SUBTOTAL(9,F8:F18)</f>
        <v>10682</v>
      </c>
      <c r="G19" s="795">
        <f>IF(ISNUMBER(F19/B19),F19/B19," - ")</f>
        <v>1335.25</v>
      </c>
      <c r="H19" s="794">
        <f>SUBTOTAL(9,H8:H18)</f>
        <v>2667</v>
      </c>
      <c r="I19" s="795">
        <f>IF(ISNUMBER(H19/B19),H19/B19," - ")</f>
        <v>333.375</v>
      </c>
    </row>
    <row r="22" spans="1:78">
      <c r="A22" s="391" t="str">
        <f>Criterios!A4</f>
        <v>Fecha Informe: 28 feb. 2025</v>
      </c>
    </row>
    <row r="27" spans="1:78">
      <c r="A27" s="414"/>
    </row>
  </sheetData>
  <sheetProtection algorithmName="SHA-512" hashValue="PY6IViEbnc18v4GCUq+ph/DSbR6EJhppABEYohmzzakO+zVWBQVp0lWdz6i8dfpLHPCe/0KQe2leRcGd9do4yA==" saltValue="sHhvX5UojVmef31sCvq5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VALDEMORO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6</v>
      </c>
      <c r="D10" s="408">
        <f>IF(ISNUMBER(Datos!R10),Datos!R10," - ")</f>
        <v>66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1533</v>
      </c>
      <c r="C12" s="434">
        <f>IF(ISNUMBER(Datos!Q12),Datos!Q12," - ")</f>
        <v>953</v>
      </c>
      <c r="D12" s="408">
        <f>IF(ISNUMBER(Datos!R12),Datos!R12," - ")</f>
        <v>9810</v>
      </c>
    </row>
    <row r="13" spans="1:4" ht="14.25" thickTop="1" thickBot="1">
      <c r="A13" s="848" t="str">
        <f>Datos!A13</f>
        <v>TOTAL</v>
      </c>
      <c r="B13" s="849">
        <f>SUBTOTAL(9,B9:B12)</f>
        <v>1539</v>
      </c>
      <c r="C13" s="853">
        <f>SUBTOTAL(9,C9:C12)</f>
        <v>959</v>
      </c>
      <c r="D13" s="851">
        <f>SUBTOTAL(9,D9:D12)</f>
        <v>9876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205</v>
      </c>
      <c r="C16" s="434">
        <f>IF(ISNUMBER(Datos!Q16),Datos!Q16," - ")</f>
        <v>262</v>
      </c>
      <c r="D16" s="408">
        <f>IF(ISNUMBER(Datos!R16),Datos!R16," - ")</f>
        <v>201</v>
      </c>
    </row>
    <row r="17" spans="1:4" ht="13.5" thickBot="1">
      <c r="A17" s="402" t="str">
        <f>Datos!A17</f>
        <v>Jdos. Violencia contra la mujer</v>
      </c>
      <c r="B17" s="433">
        <f>IF(ISNUMBER(Datos!P17),Datos!P17," - ")</f>
        <v>6</v>
      </c>
      <c r="C17" s="434">
        <f>IF(ISNUMBER(Datos!Q17),Datos!Q17," - ")</f>
        <v>2</v>
      </c>
      <c r="D17" s="408">
        <f>IF(ISNUMBER(Datos!R17),Datos!R17," - ")</f>
        <v>20</v>
      </c>
    </row>
    <row r="18" spans="1:4" ht="14.25" thickTop="1" thickBot="1">
      <c r="A18" s="848" t="str">
        <f>Datos!A18</f>
        <v>TOTAL</v>
      </c>
      <c r="B18" s="849">
        <f>SUBTOTAL(9,B15:B17)</f>
        <v>211</v>
      </c>
      <c r="C18" s="853">
        <f>SUBTOTAL(9,C15:C17)</f>
        <v>264</v>
      </c>
      <c r="D18" s="851">
        <f>SUBTOTAL(9,D15:D17)</f>
        <v>221</v>
      </c>
    </row>
    <row r="19" spans="1:4" ht="16.5" customHeight="1" thickTop="1" thickBot="1">
      <c r="A19" s="793" t="str">
        <f>Datos!A19</f>
        <v>TOTAL JURISDICCIONES</v>
      </c>
      <c r="B19" s="798">
        <f>SUBTOTAL(9,B8:B18)</f>
        <v>1750</v>
      </c>
      <c r="C19" s="799">
        <f>SUBTOTAL(9,C8:C18)</f>
        <v>1223</v>
      </c>
      <c r="D19" s="800">
        <f>SUBTOTAL(9,D8:D18)</f>
        <v>10097</v>
      </c>
    </row>
    <row r="20" spans="1:4" ht="7.5" customHeight="1"/>
    <row r="21" spans="1:4" ht="6" customHeight="1"/>
    <row r="22" spans="1:4">
      <c r="A22" s="391" t="str">
        <f>Criterios!A4</f>
        <v>Fecha Informe: 28 feb. 2025</v>
      </c>
    </row>
    <row r="27" spans="1:4">
      <c r="A27" s="414"/>
    </row>
  </sheetData>
  <sheetProtection algorithmName="SHA-512" hashValue="wcruLic7lcMxVtBuWE9x4kq/baEpaCDZ75OGfTt8N1gCadkmJW8IBeG0cTWei+DEzNRuingOpUlo6rzd4Z7FdQ==" saltValue="JGJsjY13rie2PHqNlrvP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VALDEMORO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0.10317460317460317</v>
      </c>
      <c r="C10" s="456">
        <f>IF(ISNUMBER((Datos!J10-Datos!T10)/Datos!T10),(Datos!J10-Datos!T10)/Datos!T10," - ")</f>
        <v>0.90476190476190477</v>
      </c>
      <c r="D10" s="456">
        <f>IF(ISNUMBER((Datos!K10-Datos!U10)/Datos!U10),(Datos!K10-Datos!U10)/Datos!U10," - ")</f>
        <v>1.5862068965517242</v>
      </c>
      <c r="E10" s="456">
        <f>IF(ISNUMBER((Datos!L10-Datos!V10)/Datos!V10),(Datos!L10-Datos!V10)/Datos!V10," - ")</f>
        <v>3.5971223021582732E-2</v>
      </c>
      <c r="F10" s="456">
        <f>IF(ISNUMBER((Datos!M10-Datos!W10)/Datos!W10),(Datos!M10-Datos!W10)/Datos!W10," - ")</f>
        <v>2.5</v>
      </c>
      <c r="G10" s="457">
        <f>IF(ISNUMBER((Datos!N10-Datos!X10)/Datos!X10),(Datos!N10-Datos!X10)/Datos!X10," - ")</f>
        <v>24</v>
      </c>
      <c r="H10" s="455">
        <f>IF(ISNUMBER(((NºAsuntos!G10/NºAsuntos!E10)-Datos!BD10)/Datos!BD10),((NºAsuntos!G10/NºAsuntos!E10)-Datos!BD10)/Datos!BD10," - ")</f>
        <v>0.35775862068965519</v>
      </c>
      <c r="I10" s="456">
        <f>IF(ISNUMBER(((NºAsuntos!I10/NºAsuntos!G10)-Datos!BE10)/Datos!BE10),((NºAsuntos!I10/NºAsuntos!G10)-Datos!BE10)/Datos!BE10," - ")</f>
        <v>-0.59942446043165465</v>
      </c>
      <c r="J10" s="461">
        <f>IF(ISNUMBER((('Resol  Asuntos'!D10/NºAsuntos!G10)-Datos!BF10)/Datos!BF10),(('Resol  Asuntos'!D10/NºAsuntos!G10)-Datos!BF10)/Datos!BF10," - ")</f>
        <v>0.35333333333333328</v>
      </c>
      <c r="K10" s="462">
        <f>IF(ISNUMBER((((NºAsuntos!C10+NºAsuntos!E10)/NºAsuntos!G10)-Datos!BG10)/Datos!BG10),(((NºAsuntos!C10+NºAsuntos!E10)/NºAsuntos!G10)-Datos!BG10)/Datos!BG10," - ")</f>
        <v>-0.49595238095238098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0.29620739318290928</v>
      </c>
      <c r="C12" s="456">
        <f>IF(ISNUMBER(
   IF(J_V="SI",(Datos!J12-Datos!T12)/Datos!T12,(Datos!J12+Datos!Z12-(Datos!T12+Datos!AH12))/(Datos!T12+Datos!AH12))
     ),IF(J_V="SI",(Datos!J12-Datos!T12)/Datos!T12,(Datos!J12+Datos!Z12-(Datos!T12+Datos!AH12))/(Datos!T12+Datos!AH12))," - ")</f>
        <v>0.13535640213950442</v>
      </c>
      <c r="D12" s="456">
        <f>IF(ISNUMBER(
   IF(J_V="SI",(Datos!K12-Datos!U12)/Datos!U12,(Datos!K12+Datos!AA12-(Datos!U12+Datos!AI12))/(Datos!U12+Datos!AI12))
     ),IF(J_V="SI",(Datos!K12-Datos!U12)/Datos!U12,(Datos!K12+Datos!AA12-(Datos!U12+Datos!AI12))/(Datos!U12+Datos!AI12))," - ")</f>
        <v>0.10066305003013863</v>
      </c>
      <c r="E12" s="456">
        <f>IF(ISNUMBER(
   IF(J_V="SI",(Datos!L12-Datos!V12)/Datos!V12,(Datos!L12+Datos!AB12-(Datos!V12+Datos!AJ12))/(Datos!V12+Datos!AJ12))
     ),IF(J_V="SI",(Datos!L12-Datos!V12)/Datos!V12,(Datos!L12+Datos!AB12-(Datos!V12+Datos!AJ12))/(Datos!V12+Datos!AJ12))," - ")</f>
        <v>0.17037037037037037</v>
      </c>
      <c r="F12" s="456">
        <f>IF(ISNUMBER((Datos!M12-Datos!W12)/Datos!W12),(Datos!M12-Datos!W12)/Datos!W12," - ")</f>
        <v>8.7843137254901962E-2</v>
      </c>
      <c r="G12" s="457">
        <f>IF(ISNUMBER((Datos!N12-Datos!X12)/Datos!X12),(Datos!N12-Datos!X12)/Datos!X12," - ")</f>
        <v>0.22147500560412464</v>
      </c>
      <c r="H12" s="455">
        <f>IF(ISNUMBER(((NºAsuntos!G12/NºAsuntos!E12)-Datos!BD12)/Datos!BD12),((NºAsuntos!G12/NºAsuntos!E12)-Datos!BD12)/Datos!BD12," - ")</f>
        <v>-3.0557234753764002E-2</v>
      </c>
      <c r="I12" s="456">
        <f>IF(ISNUMBER(((NºAsuntos!I12/NºAsuntos!G12)-Datos!BE12)/Datos!BE12),((NºAsuntos!I12/NºAsuntos!G12)-Datos!BE12)/Datos!BE12," - ")</f>
        <v>6.3332116344164593E-2</v>
      </c>
      <c r="J12" s="461">
        <f>IF(ISNUMBER((('Resol  Asuntos'!D12/NºAsuntos!G12)-Datos!BF12)/Datos!BF12),(('Resol  Asuntos'!D12/NºAsuntos!G12)-Datos!BF12)/Datos!BF12," - ")</f>
        <v>-0.71751860409787338</v>
      </c>
      <c r="K12" s="462">
        <f>IF(ISNUMBER((((NºAsuntos!C12+NºAsuntos!E12)/NºAsuntos!G12)-Datos!BG12)/Datos!BG12),(((NºAsuntos!C12+NºAsuntos!E12)/NºAsuntos!G12)-Datos!BG12)/Datos!BG12," - ")</f>
        <v>9.0782539040594037E-2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0.29239215686274511</v>
      </c>
      <c r="C13" s="855">
        <f>IF(ISNUMBER(
   IF(J_V="SI",(Datos!J13-Datos!T13)/Datos!T13,(Datos!J13+Datos!Z13-(Datos!T13+Datos!AH13))/(Datos!T13+Datos!AH13))
     ),IF(J_V="SI",(Datos!J13-Datos!T13)/Datos!T13,(Datos!J13+Datos!Z13-(Datos!T13+Datos!AH13))/(Datos!T13+Datos!AH13))," - ")</f>
        <v>0.13886776051287625</v>
      </c>
      <c r="D13" s="855">
        <f>IF(ISNUMBER(
   IF(J_V="SI",(Datos!K13-Datos!U13)/Datos!U13,(Datos!K13+Datos!AA13-(Datos!U13+Datos!AI13))/(Datos!U13+Datos!AI13))
     ),IF(J_V="SI",(Datos!K13-Datos!U13)/Datos!U13,(Datos!K13+Datos!AA13-(Datos!U13+Datos!AI13))/(Datos!U13+Datos!AI13))," - ")</f>
        <v>0.10583853916386353</v>
      </c>
      <c r="E13" s="855">
        <f>IF(ISNUMBER(
   IF(J_V="SI",(Datos!L13-Datos!V13)/Datos!V13,(Datos!L13+Datos!AB13-(Datos!V13+Datos!AJ13))/(Datos!V13+Datos!AJ13))
     ),IF(J_V="SI",(Datos!L13-Datos!V13)/Datos!V13,(Datos!L13+Datos!AB13-(Datos!V13+Datos!AJ13))/(Datos!V13+Datos!AJ13))," - ")</f>
        <v>0.1681029251122709</v>
      </c>
      <c r="F13" s="856">
        <f>IF(ISNUMBER((Datos!M13-Datos!W13)/Datos!W13),(Datos!M13-Datos!W13)/Datos!W13," - ")</f>
        <v>0.10661478599221789</v>
      </c>
      <c r="G13" s="857">
        <f>IF(ISNUMBER((Datos!N13-Datos!X13)/Datos!X13),(Datos!N13-Datos!X13)/Datos!X13," - ")</f>
        <v>0.22680412371134021</v>
      </c>
      <c r="H13" s="857">
        <f>IF(ISNUMBER(((NºAsuntos!G13/NºAsuntos!E13)-Datos!BD13)/Datos!BD13),((NºAsuntos!G13/NºAsuntos!E13)-Datos!BD13)/Datos!BD13," - ")</f>
        <v>-2.9001805560057568E-2</v>
      </c>
      <c r="I13" s="857">
        <f>IF(ISNUMBER(((NºAsuntos!I13/NºAsuntos!G13)-Datos!BE13)/Datos!BE13),((NºAsuntos!I13/NºAsuntos!G13)-Datos!BE13)/Datos!BE13," - ")</f>
        <v>5.6305132931509357E-2</v>
      </c>
      <c r="J13" s="857">
        <f>IF(ISNUMBER((('Resol  Asuntos'!D13/NºAsuntos!G13)-Datos!BF13)/Datos!BF13),(('Resol  Asuntos'!D13/NºAsuntos!G13)-Datos!BF13)/Datos!BF13," - ")</f>
        <v>-0.7123905144761139</v>
      </c>
      <c r="K13" s="857">
        <f>IF(ISNUMBER((((NºAsuntos!C13+NºAsuntos!E13)/NºAsuntos!G13)-Datos!BG13)/Datos!BG13),(((NºAsuntos!C13+NºAsuntos!E13)/NºAsuntos!G13)-Datos!BG13)/Datos!BG13," - ")</f>
        <v>8.6681875420210303E-2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2.9058749210360075E-2</v>
      </c>
      <c r="C16" s="456">
        <f>IF(ISNUMBER(
   IF(D_I="SI",(Datos!J16-Datos!T16)/Datos!T16,(Datos!J16+Datos!AD16-(Datos!T16+Datos!AL16))/(Datos!T16+Datos!AL16))
     ),IF(D_I="SI",(Datos!J16-Datos!T16)/Datos!T16,(Datos!J16+Datos!AD16-(Datos!T16+Datos!AL16))/(Datos!T16+Datos!AL16))," - ")</f>
        <v>7.3757426459933342E-2</v>
      </c>
      <c r="D16" s="456">
        <f>IF(ISNUMBER(
   IF(D_I="SI",(Datos!K16-Datos!U16)/Datos!U16,(Datos!K16+Datos!AE16-(Datos!U16+Datos!AM16))/(Datos!U16+Datos!AM16))
     ),IF(D_I="SI",(Datos!K16-Datos!U16)/Datos!U16,(Datos!K16+Datos!AE16-(Datos!U16+Datos!AM16))/(Datos!U16+Datos!AM16))," - ")</f>
        <v>1.9151652716697404E-2</v>
      </c>
      <c r="E16" s="456">
        <f>IF(ISNUMBER(
   IF(D_I="SI",(Datos!L16-Datos!V16)/Datos!V16,(Datos!L16+Datos!AF16-(Datos!V16+Datos!AN16))/(Datos!V16+Datos!AN16))
     ),IF(D_I="SI",(Datos!L16-Datos!V16)/Datos!V16,(Datos!L16+Datos!AF16-(Datos!V16+Datos!AN16))/(Datos!V16+Datos!AN16))," - ")</f>
        <v>0.25721301411909148</v>
      </c>
      <c r="F16" s="456">
        <f>IF(ISNUMBER((Datos!M16-Datos!W16)/Datos!W16),(Datos!M16-Datos!W16)/Datos!W16," - ")</f>
        <v>0.12380952380952381</v>
      </c>
      <c r="G16" s="457">
        <f>IF(ISNUMBER((Datos!N16-Datos!X16)/Datos!X16),(Datos!N16-Datos!X16)/Datos!X16," - ")</f>
        <v>9.8884914790658539E-3</v>
      </c>
      <c r="H16" s="455">
        <f>IF(ISNUMBER(((NºAsuntos!G16/NºAsuntos!E16)-Datos!BD16)/Datos!BD16),((NºAsuntos!G16/NºAsuntos!E16)-Datos!BD16)/Datos!BD16," - ")</f>
        <v>-5.0854850823491476E-2</v>
      </c>
      <c r="I16" s="456">
        <f>IF(ISNUMBER(((NºAsuntos!I16/NºAsuntos!G16)-Datos!BE16)/Datos!BE16),((NºAsuntos!I16/NºAsuntos!G16)-Datos!BE16)/Datos!BE16," - ")</f>
        <v>0.23358776956089583</v>
      </c>
      <c r="J16" s="461">
        <f>IF(ISNUMBER((('Resol  Asuntos'!D16/NºAsuntos!G16)-Datos!BF16)/Datos!BF16),(('Resol  Asuntos'!D16/NºAsuntos!G16)-Datos!BF16)/Datos!BF16," - ")</f>
        <v>0.10269116555308083</v>
      </c>
      <c r="K16" s="462">
        <f>IF(ISNUMBER((((NºAsuntos!C16+NºAsuntos!E16)/NºAsuntos!G16)-Datos!BG16)/Datos!BG16),(((NºAsuntos!C16+NºAsuntos!E16)/NºAsuntos!G16)-Datos!BG16)/Datos!BG16," - ")</f>
        <v>4.539619120598043E-2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0.46363636363636362</v>
      </c>
      <c r="D17" s="456">
        <f>IF(ISNUMBER(
   IF(D_I="SI",(Datos!K17-Datos!U17)/Datos!U17,(Datos!K17+Datos!AE17-(Datos!U17+Datos!AM17))/(Datos!U17+Datos!AM17))
     ),IF(D_I="SI",(Datos!K17-Datos!U17)/Datos!U17,(Datos!K17+Datos!AE17-(Datos!U17+Datos!AM17))/(Datos!U17+Datos!AM17))," - ")</f>
        <v>0.54260089686098656</v>
      </c>
      <c r="E17" s="456">
        <f>IF(ISNUMBER(
   IF(D_I="SI",(Datos!L17-Datos!V17)/Datos!V17,(Datos!L17+Datos!AF17-(Datos!V17+Datos!AN17))/(Datos!V17+Datos!AN17))
     ),IF(D_I="SI",(Datos!L17-Datos!V17)/Datos!V17,(Datos!L17+Datos!AF17-(Datos!V17+Datos!AN17))/(Datos!V17+Datos!AN17))," - ")</f>
        <v>-0.20087336244541484</v>
      </c>
      <c r="F17" s="456">
        <f>IF(ISNUMBER((Datos!M17-Datos!W17)/Datos!W17),(Datos!M17-Datos!W17)/Datos!W17," - ")</f>
        <v>-0.04</v>
      </c>
      <c r="G17" s="457">
        <f>IF(ISNUMBER((Datos!N17-Datos!X17)/Datos!X17),(Datos!N17-Datos!X17)/Datos!X17," - ")</f>
        <v>0.62549800796812749</v>
      </c>
      <c r="H17" s="455">
        <f>IF(ISNUMBER(((NºAsuntos!G17/NºAsuntos!E17)-Datos!BD17)/Datos!BD17),((NºAsuntos!G17/NºAsuntos!E17)-Datos!BD17)/Datos!BD17," - ")</f>
        <v>5.3950923321170914E-2</v>
      </c>
      <c r="I17" s="456">
        <f>IF(ISNUMBER(((NºAsuntos!I17/NºAsuntos!G17)-Datos!BE17)/Datos!BE17),((NºAsuntos!I17/NºAsuntos!G17)-Datos!BE17)/Datos!BE17," - ")</f>
        <v>-0.48196151112013819</v>
      </c>
      <c r="J17" s="461">
        <f>IF(ISNUMBER((('Resol  Asuntos'!D17/NºAsuntos!G17)-Datos!BF17)/Datos!BF17),(('Resol  Asuntos'!D17/NºAsuntos!G17)-Datos!BF17)/Datos!BF17," - ")</f>
        <v>-0.37767441860465117</v>
      </c>
      <c r="K17" s="462">
        <f>IF(ISNUMBER((((NºAsuntos!C17+NºAsuntos!E17)/NºAsuntos!G17)-Datos!BG17)/Datos!BG17),(((NºAsuntos!C17+NºAsuntos!E17)/NºAsuntos!G17)-Datos!BG17)/Datos!BG17," - ")</f>
        <v>-0.15406976744186052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2.5386313465783666E-2</v>
      </c>
      <c r="C18" s="855">
        <f>IF(ISNUMBER(
   IF(Criterios!B14="SI",(Datos!J18-Datos!T18)/Datos!T18,(Datos!J18+Datos!AD18-(Datos!T18+Datos!AL18))/(Datos!T18+Datos!AL18))
     ),IF(Criterios!B14="SI",(Datos!J18-Datos!T18)/Datos!T18,(Datos!J18+Datos!AD18-(Datos!T18+Datos!AL18))/(Datos!T18+Datos!AL18))," - ")</f>
        <v>9.7125732189075054E-2</v>
      </c>
      <c r="D18" s="855">
        <f>IF(ISNUMBER(
   IF(Criterios!B14="SI",(Datos!K18-Datos!U18)/Datos!U18,(Datos!K18+Datos!AE18-(Datos!U18+Datos!AM18))/(Datos!U18+Datos!AM18))
     ),IF(Criterios!B14="SI",(Datos!K18-Datos!U18)/Datos!U18,(Datos!K18+Datos!AE18-(Datos!U18+Datos!AM18))/(Datos!U18+Datos!AM18))," - ")</f>
        <v>5.0300200133422283E-2</v>
      </c>
      <c r="E18" s="855">
        <f>IF(ISNUMBER(
   IF(Criterios!B14="SI",(Datos!L18-Datos!V18)/Datos!V18,(Datos!L18+Datos!AF18-(Datos!V18+Datos!AN18))/(Datos!V18+Datos!AN18))
     ),IF(Criterios!B14="SI",(Datos!L18-Datos!V18)/Datos!V18,(Datos!L18+Datos!AF18-(Datos!V18+Datos!AN18))/(Datos!V18+Datos!AN18))," - ")</f>
        <v>0.20075349838536061</v>
      </c>
      <c r="F18" s="856">
        <f>IF(ISNUMBER((Datos!M18-Datos!W18)/Datos!W18),(Datos!M18-Datos!W18)/Datos!W18," - ")</f>
        <v>0.11176470588235295</v>
      </c>
      <c r="G18" s="857">
        <f>IF(ISNUMBER((Datos!N18-Datos!X18)/Datos!X18),(Datos!N18-Datos!X18)/Datos!X18," - ")</f>
        <v>4.0767386091127102E-2</v>
      </c>
      <c r="H18" s="857">
        <f>IF(ISNUMBER(((NºAsuntos!G18/NºAsuntos!E18)-Datos!BD18)/Datos!BD18),((NºAsuntos!G18/NºAsuntos!E18)-Datos!BD18)/Datos!BD18," - ")</f>
        <v>-4.2680187586360455E-2</v>
      </c>
      <c r="I18" s="857">
        <f>IF(ISNUMBER(((NºAsuntos!I18/NºAsuntos!G18)-Datos!BE18)/Datos!BE18),((NºAsuntos!I18/NºAsuntos!G18)-Datos!BE18)/Datos!BE18," - ")</f>
        <v>0.14324790020303316</v>
      </c>
      <c r="J18" s="857">
        <f>IF(ISNUMBER((('Resol  Asuntos'!D18/NºAsuntos!G18)-Datos!BF18)/Datos!BF18),(('Resol  Asuntos'!D18/NºAsuntos!G18)-Datos!BF18)/Datos!BF18," - ")</f>
        <v>5.8520893113342916E-2</v>
      </c>
      <c r="K18" s="857">
        <f>IF(ISNUMBER((((NºAsuntos!C18+NºAsuntos!E18)/NºAsuntos!G18)-Datos!BG18)/Datos!BG18),(((NºAsuntos!C18+NºAsuntos!E18)/NºAsuntos!G18)-Datos!BG18)/Datos!BG18," - ")</f>
        <v>3.1061054219194983E-2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0.23329668987419078</v>
      </c>
      <c r="C19" s="802">
        <f>IF(ISNUMBER(
   IF(J_V="SI",(Datos!J19-Datos!T19)/Datos!T19,(Datos!J19+Datos!Z19-(Datos!T19+Datos!AH19))/(Datos!T19+Datos!AH19))
     ),IF(J_V="SI",(Datos!J19-Datos!T19)/Datos!T19,(Datos!J19+Datos!Z19-(Datos!T19+Datos!AH19))/(Datos!T19+Datos!AH19))," - ")</f>
        <v>0.12034574468085106</v>
      </c>
      <c r="D19" s="802">
        <f>IF(ISNUMBER(
   IF(J_V="SI",(Datos!K19-Datos!U19)/Datos!U19,(Datos!K19+Datos!AA19-(Datos!U19+Datos!AI19))/(Datos!U19+Datos!AI19))
     ),IF(J_V="SI",(Datos!K19-Datos!U19)/Datos!U19,(Datos!K19+Datos!AA19-(Datos!U19+Datos!AI19))/(Datos!U19+Datos!AI19))," - ")</f>
        <v>7.9524622289651681E-2</v>
      </c>
      <c r="E19" s="802">
        <f>IF(ISNUMBER(
   IF(J_V="SI",(Datos!L19-Datos!V19)/Datos!V19,(Datos!L19+Datos!AB19-(Datos!V19+Datos!AJ19))/(Datos!V19+Datos!AJ19))
     ),IF(J_V="SI",(Datos!L19-Datos!V19)/Datos!V19,(Datos!L19+Datos!AB19-(Datos!V19+Datos!AJ19))/(Datos!V19+Datos!AJ19))," - ")</f>
        <v>0.17411112211547985</v>
      </c>
      <c r="F19" s="803">
        <f>IF(ISNUMBER((Datos!M19-Datos!W19)/Datos!W19),(Datos!M19-Datos!W19)/Datos!W19," - ")</f>
        <v>0.10839694656488549</v>
      </c>
      <c r="G19" s="804">
        <f>IF(ISNUMBER((Datos!N19-Datos!X19)/Datos!X19),(Datos!N19-Datos!X19)/Datos!X19," - ")</f>
        <v>0.12845975068666807</v>
      </c>
      <c r="H19" s="805">
        <f>IF(ISNUMBER((Tasas!B19-Datos!BD19)/Datos!BD19),(Tasas!B19-Datos!BD19)/Datos!BD19," - ")</f>
        <v>-3.6436182834637315E-2</v>
      </c>
      <c r="I19" s="806">
        <f>IF(ISNUMBER((Tasas!C19-Datos!BE19)/Datos!BE19),(Tasas!C19-Datos!BE19)/Datos!BE19," - ")</f>
        <v>8.761865905866216E-2</v>
      </c>
      <c r="J19" s="807">
        <f>IF(ISNUMBER((Tasas!D19-Datos!BF19)/Datos!BF19),(Tasas!D19-Datos!BF19)/Datos!BF19," - ")</f>
        <v>-0.60831785619753942</v>
      </c>
      <c r="K19" s="807">
        <f>IF(ISNUMBER((Tasas!E19-Datos!BG19)/Datos!BG19),(Tasas!E19-Datos!BG19)/Datos!BG19," - ")</f>
        <v>7.2450992720319143E-2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rndQ1EXe6oC8UIFpwDsFq8yQ570oHmQ+gT1kFa2R5Tb30IPorQsmjv9vnZXX2XuumMDs04EC/HFwmeqZzD8zg==" saltValue="ejivofnO9lC0/MXJgb3C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VALDEMORO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0.9375</v>
      </c>
      <c r="C10" s="443">
        <f>IF(ISNUMBER(NºAsuntos!I10/NºAsuntos!G10),NºAsuntos!I10/NºAsuntos!G10," - ")</f>
        <v>1.92</v>
      </c>
      <c r="D10" s="444">
        <f>IF(ISNUMBER('Resol  Asuntos'!D10/NºAsuntos!G10),'Resol  Asuntos'!D10/NºAsuntos!G10," - ")</f>
        <v>0.46666666666666667</v>
      </c>
      <c r="E10" s="445">
        <f>IF(ISNUMBER((NºAsuntos!C10+NºAsuntos!E10)/NºAsuntos!G10),(NºAsuntos!C10+NºAsuntos!E10)/NºAsuntos!G10," - ")</f>
        <v>2.92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0.87780021151812326</v>
      </c>
      <c r="C12" s="443">
        <f>IF(ISNUMBER(NºAsuntos!I12/NºAsuntos!G12),NºAsuntos!I12/NºAsuntos!G12," - ")</f>
        <v>1.0383351588170866</v>
      </c>
      <c r="D12" s="444">
        <f>IF(ISNUMBER('Resol  Asuntos'!D12/NºAsuntos!G12),'Resol  Asuntos'!D12/NºAsuntos!G12," - ")</f>
        <v>0.15191675794085432</v>
      </c>
      <c r="E12" s="445">
        <f>IF(ISNUMBER((NºAsuntos!C12+NºAsuntos!E12)/NºAsuntos!G12),(NºAsuntos!C12+NºAsuntos!E12)/NºAsuntos!G12," - ")</f>
        <v>2.0263964950711939</v>
      </c>
      <c r="G12" s="463"/>
    </row>
    <row r="13" spans="1:7" ht="14.25" thickTop="1" thickBot="1">
      <c r="A13" s="848" t="str">
        <f>Datos!A13</f>
        <v>TOTAL</v>
      </c>
      <c r="B13" s="858">
        <f>IF(ISNUMBER(NºAsuntos!G13/NºAsuntos!E13),NºAsuntos!G13/NºAsuntos!E13," - ")</f>
        <v>0.87825589161339568</v>
      </c>
      <c r="C13" s="859">
        <f>IF(ISNUMBER(NºAsuntos!I13/NºAsuntos!G13),NºAsuntos!I13/NºAsuntos!G13," - ")</f>
        <v>1.0455187398153178</v>
      </c>
      <c r="D13" s="860">
        <f>IF(ISNUMBER('Resol  Asuntos'!D13/NºAsuntos!G13),'Resol  Asuntos'!D13/NºAsuntos!G13," - ")</f>
        <v>0.15448126018468225</v>
      </c>
      <c r="E13" s="861">
        <f>IF(ISNUMBER((NºAsuntos!C13+NºAsuntos!E13)/NºAsuntos!G13),(NºAsuntos!C13+NºAsuntos!E13)/NºAsuntos!G13," - ")</f>
        <v>2.0336773492667031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0.96950067476383261</v>
      </c>
      <c r="C16" s="443">
        <f>IF(ISNUMBER(NºAsuntos!I16/NºAsuntos!G16),NºAsuntos!I16/NºAsuntos!G16," - ")</f>
        <v>0.28507795100222716</v>
      </c>
      <c r="D16" s="444">
        <f>IF(ISNUMBER('Resol  Asuntos'!D16/NºAsuntos!G16),'Resol  Asuntos'!D16/NºAsuntos!G16," - ")</f>
        <v>9.8552338530066813E-2</v>
      </c>
      <c r="E16" s="445">
        <f>IF(ISNUMBER((NºAsuntos!C16+NºAsuntos!E16)/NºAsuntos!G16),(NºAsuntos!C16+NºAsuntos!E16)/NºAsuntos!G16," - ")</f>
        <v>1.2582126948775056</v>
      </c>
      <c r="G16" s="463"/>
    </row>
    <row r="17" spans="1:7" ht="13.5" thickBot="1">
      <c r="A17" s="402" t="str">
        <f>Datos!A17</f>
        <v>Jdos. Violencia contra la mujer</v>
      </c>
      <c r="B17" s="442">
        <f>IF(ISNUMBER(NºAsuntos!G17/NºAsuntos!E17),NºAsuntos!G17/NºAsuntos!E17," - ")</f>
        <v>1.0683229813664596</v>
      </c>
      <c r="C17" s="443">
        <f>IF(ISNUMBER(NºAsuntos!I17/NºAsuntos!G17),NºAsuntos!I17/NºAsuntos!G17," - ")</f>
        <v>0.26598837209302323</v>
      </c>
      <c r="D17" s="444">
        <f>IF(ISNUMBER('Resol  Asuntos'!D17/NºAsuntos!G17),'Resol  Asuntos'!D17/NºAsuntos!G17," - ")</f>
        <v>6.9767441860465115E-2</v>
      </c>
      <c r="E17" s="445">
        <f>IF(ISNUMBER((NºAsuntos!C17+NºAsuntos!E17)/NºAsuntos!G17),(NºAsuntos!C17+NºAsuntos!E17)/NºAsuntos!G17," - ")</f>
        <v>1.2688953488372092</v>
      </c>
      <c r="G17" s="463"/>
    </row>
    <row r="18" spans="1:7" ht="14.25" thickTop="1" thickBot="1">
      <c r="A18" s="848" t="str">
        <f>Datos!A18</f>
        <v>TOTAL</v>
      </c>
      <c r="B18" s="858">
        <f>IF(ISNUMBER(NºAsuntos!G18/NºAsuntos!E18),NºAsuntos!G18/NºAsuntos!E18," - ")</f>
        <v>0.97740253290290535</v>
      </c>
      <c r="C18" s="859">
        <f>IF(ISNUMBER(NºAsuntos!I18/NºAsuntos!G18),NºAsuntos!I18/NºAsuntos!G18," - ")</f>
        <v>0.28340955284552843</v>
      </c>
      <c r="D18" s="862">
        <f>IF(ISNUMBER('Resol  Asuntos'!D18/NºAsuntos!G18),'Resol  Asuntos'!D18/NºAsuntos!G18," - ")</f>
        <v>9.6036585365853661E-2</v>
      </c>
      <c r="E18" s="861">
        <f>IF(ISNUMBER((NºAsuntos!C18+NºAsuntos!E18)/NºAsuntos!G18),(NºAsuntos!C18+NºAsuntos!E18)/NºAsuntos!G18," - ")</f>
        <v>1.2591463414634145</v>
      </c>
      <c r="G18" s="463"/>
    </row>
    <row r="19" spans="1:7" ht="15.75" customHeight="1" thickTop="1" thickBot="1">
      <c r="A19" s="793" t="str">
        <f>Datos!A19</f>
        <v>TOTAL JURISDICCIONES</v>
      </c>
      <c r="B19" s="808">
        <f>IF(ISNUMBER(NºAsuntos!G19/NºAsuntos!E19),NºAsuntos!G19/NºAsuntos!E19," - ")</f>
        <v>0.92133800917183706</v>
      </c>
      <c r="C19" s="809">
        <f>IF(ISNUMBER(NºAsuntos!I19/NºAsuntos!G19),NºAsuntos!I19/NºAsuntos!G19," - ")</f>
        <v>0.69420858464601509</v>
      </c>
      <c r="D19" s="810">
        <f>IF(ISNUMBER('Resol  Asuntos'!D19/NºAsuntos!G19),'Resol  Asuntos'!D19/NºAsuntos!G19," - ")</f>
        <v>0.12753996603618903</v>
      </c>
      <c r="E19" s="811">
        <f>IF(ISNUMBER((NºAsuntos!C19+NºAsuntos!E19)/NºAsuntos!G19),(NºAsuntos!C19+NºAsuntos!E19)/NºAsuntos!G19," - ")</f>
        <v>1.6766410962112783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3XubRXiOWBVzQietdJN4qNii/THZ/3w7cs8SxE/wawC8Z9xzwD/KrTEMrO1IO0ztAH994p60u1qyW4+JfU9Cg==" saltValue="XvpPx964QFQdXlZ1BJ1d/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VALDEMORO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139</v>
      </c>
      <c r="G10" s="333">
        <f>IF(ISNUMBER(Datos!I10),Datos!I10," - ")</f>
        <v>139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6</v>
      </c>
      <c r="Y10" s="334">
        <f t="shared" ref="Y10:Y12" si="0">SUM(W10:X10)</f>
        <v>81</v>
      </c>
      <c r="Z10" s="335" t="str">
        <f>IF(ISNUMBER(Datos!CC10),Datos!CC10," - ")</f>
        <v xml:space="preserve"> - </v>
      </c>
      <c r="AA10" s="332">
        <f>IF(ISNUMBER(Datos!L10),Datos!L10,"-")</f>
        <v>144</v>
      </c>
      <c r="AB10" s="334">
        <f>IF(ISNUMBER(Datos!R10),Datos!R10," - ")</f>
        <v>66</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35</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21.119999999999997</v>
      </c>
      <c r="AN10" s="244">
        <f>IF(ISNUMBER('Resol  Asuntos'!D10/NºAsuntos!G10),'Resol  Asuntos'!D10/NºAsuntos!G10," - ")</f>
        <v>0.46666666666666667</v>
      </c>
      <c r="AO10" s="245">
        <f>IF(ISNUMBER((NºAsuntos!C10+NºAsuntos!E10)/NºAsuntos!G10),(NºAsuntos!C10+NºAsuntos!E10)/NºAsuntos!G10," - ")</f>
        <v>2.92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953</v>
      </c>
      <c r="Y12" s="334">
        <f t="shared" si="0"/>
        <v>953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9810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1387</v>
      </c>
      <c r="AJ12" s="229" t="str">
        <f>IF(ISNUMBER(Datos!BW12),Datos!BW12," - ")</f>
        <v xml:space="preserve"> - </v>
      </c>
      <c r="AK12" s="228" t="str">
        <f>IF(ISNUMBER(Datos!BX12),Datos!BX12," - ")</f>
        <v xml:space="preserve"> - </v>
      </c>
      <c r="AL12" s="243">
        <f>IF(ISNUMBER(NºAsuntos!G12/NºAsuntos!E12),NºAsuntos!G12/NºAsuntos!E12," - ")</f>
        <v>0.87780021151812326</v>
      </c>
      <c r="AM12" s="260">
        <f>IF(ISNUMBER(((NºAsuntos!I12/NºAsuntos!G12)*11)/factor_trimestre),((NºAsuntos!I12/NºAsuntos!G12)*11)/factor_trimestre," - ")</f>
        <v>11.421686746987952</v>
      </c>
      <c r="AN12" s="244">
        <f>IF(ISNUMBER('Resol  Asuntos'!D12/NºAsuntos!G12),'Resol  Asuntos'!D12/NºAsuntos!G12," - ")</f>
        <v>0.15191675794085432</v>
      </c>
      <c r="AO12" s="245">
        <f>IF(ISNUMBER((NºAsuntos!C12+NºAsuntos!E12)/NºAsuntos!G12),(NºAsuntos!C12+NºAsuntos!E12)/NºAsuntos!G12," - ")</f>
        <v>2.0263964950711939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139</v>
      </c>
      <c r="G13" s="866">
        <f t="shared" si="3"/>
        <v>139</v>
      </c>
      <c r="H13" s="865">
        <f t="shared" si="3"/>
        <v>0</v>
      </c>
      <c r="I13" s="867">
        <f t="shared" si="3"/>
        <v>0</v>
      </c>
      <c r="J13" s="867">
        <f t="shared" si="3"/>
        <v>0</v>
      </c>
      <c r="K13" s="867">
        <f t="shared" si="3"/>
        <v>0</v>
      </c>
      <c r="L13" s="867">
        <f t="shared" si="3"/>
        <v>1539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959</v>
      </c>
      <c r="Y13" s="868">
        <f t="shared" si="4"/>
        <v>1034</v>
      </c>
      <c r="Z13" s="868">
        <f t="shared" si="4"/>
        <v>0</v>
      </c>
      <c r="AA13" s="868">
        <f t="shared" si="4"/>
        <v>144</v>
      </c>
      <c r="AB13" s="868">
        <f t="shared" si="4"/>
        <v>9876</v>
      </c>
      <c r="AC13" s="868">
        <f t="shared" si="4"/>
        <v>210</v>
      </c>
      <c r="AD13" s="868">
        <f t="shared" si="4"/>
        <v>0</v>
      </c>
      <c r="AE13" s="872">
        <f t="shared" si="4"/>
        <v>0</v>
      </c>
      <c r="AF13" s="865">
        <f t="shared" si="4"/>
        <v>0</v>
      </c>
      <c r="AG13" s="873">
        <f t="shared" si="4"/>
        <v>0</v>
      </c>
      <c r="AH13" s="870">
        <f t="shared" si="4"/>
        <v>0</v>
      </c>
      <c r="AI13" s="865">
        <f t="shared" si="4"/>
        <v>1422</v>
      </c>
      <c r="AJ13" s="867">
        <f t="shared" si="4"/>
        <v>0</v>
      </c>
      <c r="AK13" s="870">
        <f>SUBTOTAL(9,AK9:AK12)</f>
        <v>0</v>
      </c>
      <c r="AL13" s="874">
        <f>IF(ISNUMBER(NºAsuntos!G13/NºAsuntos!E13),NºAsuntos!G13/NºAsuntos!E13," - ")</f>
        <v>0.87825589161339568</v>
      </c>
      <c r="AM13" s="874">
        <f>IF(ISNUMBER(((NºAsuntos!I13/NºAsuntos!G13)*11)/factor_trimestre),((NºAsuntos!I13/NºAsuntos!G13)*11)/factor_trimestre," - ")</f>
        <v>11.500706137968496</v>
      </c>
      <c r="AN13" s="875">
        <f>IF(ISNUMBER('Resol  Asuntos'!D13/NºAsuntos!G13),'Resol  Asuntos'!D13/NºAsuntos!G13," - ")</f>
        <v>0.15448126018468225</v>
      </c>
      <c r="AO13" s="876">
        <f>IF(ISNUMBER((NºAsuntos!C13+NºAsuntos!E13)/NºAsuntos!G13),(NºAsuntos!C13+NºAsuntos!E13)/NºAsuntos!G13," - ")</f>
        <v>2.0336773492667031</v>
      </c>
      <c r="AP13" s="877" t="str">
        <f t="shared" si="2"/>
        <v xml:space="preserve"> - </v>
      </c>
      <c r="AQ13" s="877">
        <f>IF(ISNUMBER((H13-W13+K13)/(F13)),(H13-W13+K13)/(F13)," - ")</f>
        <v>-0.53956834532374098</v>
      </c>
      <c r="AR13" s="878">
        <f>IF(ISNUMBER((Datos!P13-Datos!Q13)/(Datos!R13-Datos!P13+Datos!Q13)),(Datos!P13-Datos!Q13)/(Datos!R13-Datos!P13+Datos!Q13)," - ")</f>
        <v>6.2392426850258177E-2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1822</v>
      </c>
      <c r="G16" s="333">
        <f>IF(ISNUMBER(IF(D_I="SI",Datos!I16,Datos!I16+Datos!AC16)),IF(D_I="SI",Datos!I16,Datos!I16+Datos!AC16)," - ")</f>
        <v>1629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7184</v>
      </c>
      <c r="X16" s="226">
        <f>IF(ISNUMBER(Datos!Q16),Datos!Q16," - ")</f>
        <v>262</v>
      </c>
      <c r="Y16" s="334">
        <f t="shared" ref="Y16:Y17" si="7">SUM(W16:X16)</f>
        <v>7446</v>
      </c>
      <c r="Z16" s="335" t="str">
        <f>IF(ISNUMBER(Datos!CC16),Datos!CC16," - ")</f>
        <v xml:space="preserve"> - </v>
      </c>
      <c r="AA16" s="332">
        <f>IF(ISNUMBER(IF(D_I="SI",Datos!L16,Datos!L16+Datos!AF16)),IF(D_I="SI",Datos!L16,Datos!L16+Datos!AF16)," - ")</f>
        <v>2048</v>
      </c>
      <c r="AB16" s="334">
        <f>IF(ISNUMBER(Datos!R16),Datos!R16," - ")</f>
        <v>201</v>
      </c>
      <c r="AC16" s="334">
        <f t="shared" si="6"/>
        <v>2249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708</v>
      </c>
      <c r="AJ16" s="231" t="str">
        <f>IF(ISNUMBER(Datos!BW16),Datos!BW16," - ")</f>
        <v xml:space="preserve"> - </v>
      </c>
      <c r="AK16" s="232" t="str">
        <f>IF(ISNUMBER(Datos!BX16),Datos!BX16," - ")</f>
        <v xml:space="preserve"> - </v>
      </c>
      <c r="AL16" s="243">
        <f>IF(ISNUMBER(NºAsuntos!G16/NºAsuntos!E16),NºAsuntos!G16/NºAsuntos!E16," - ")</f>
        <v>0.96950067476383261</v>
      </c>
      <c r="AM16" s="260">
        <f>IF(ISNUMBER(((NºAsuntos!I16/NºAsuntos!G16)*11)/factor_trimestre),((NºAsuntos!I16/NºAsuntos!G16)*11)/factor_trimestre," - ")</f>
        <v>3.1358574610244987</v>
      </c>
      <c r="AN16" s="244">
        <f>IF(ISNUMBER('Resol  Asuntos'!D16/NºAsuntos!G16),'Resol  Asuntos'!D16/NºAsuntos!G16," - ")</f>
        <v>9.8552338530066813E-2</v>
      </c>
      <c r="AO16" s="245">
        <f>IF(ISNUMBER((NºAsuntos!C16+NºAsuntos!E16)/NºAsuntos!G16),(NºAsuntos!C16+NºAsuntos!E16)/NºAsuntos!G16," - ")</f>
        <v>1.2582126948775056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688</v>
      </c>
      <c r="X17" s="226">
        <f>IF(ISNUMBER(Datos!Q17),Datos!Q17," - ")</f>
        <v>2</v>
      </c>
      <c r="Y17" s="334">
        <f t="shared" si="7"/>
        <v>690</v>
      </c>
      <c r="Z17" s="335" t="str">
        <f>IF(ISNUMBER(Datos!CC17),Datos!CC17," - ")</f>
        <v xml:space="preserve"> - </v>
      </c>
      <c r="AA17" s="332">
        <f>IF(ISNUMBER(Datos!L17),Datos!L17,"-")</f>
        <v>183</v>
      </c>
      <c r="AB17" s="334">
        <f>IF(ISNUMBER(Datos!R17),Datos!R17," - ")</f>
        <v>20</v>
      </c>
      <c r="AC17" s="334">
        <f t="shared" si="6"/>
        <v>203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48</v>
      </c>
      <c r="AJ17" s="231" t="str">
        <f>IF(ISNUMBER(Datos!BW17),Datos!BW17," - ")</f>
        <v xml:space="preserve"> - </v>
      </c>
      <c r="AK17" s="232" t="str">
        <f>IF(ISNUMBER(Datos!BX17),Datos!BX17," - ")</f>
        <v xml:space="preserve"> - </v>
      </c>
      <c r="AL17" s="243">
        <f>IF(ISNUMBER(NºAsuntos!G17/NºAsuntos!E17),NºAsuntos!G17/NºAsuntos!E17," - ")</f>
        <v>1.0683229813664596</v>
      </c>
      <c r="AM17" s="260">
        <f>IF(ISNUMBER(((NºAsuntos!I17/NºAsuntos!G17)*11)/factor_trimestre),((NºAsuntos!I17/NºAsuntos!G17)*11)/factor_trimestre," - ")</f>
        <v>2.9258720930232553</v>
      </c>
      <c r="AN17" s="244">
        <f>IF(ISNUMBER('Resol  Asuntos'!D17/NºAsuntos!G17),'Resol  Asuntos'!D17/NºAsuntos!G17," - ")</f>
        <v>6.9767441860465115E-2</v>
      </c>
      <c r="AO17" s="245">
        <f>IF(ISNUMBER((NºAsuntos!C17+NºAsuntos!E17)/NºAsuntos!G17),(NºAsuntos!C17+NºAsuntos!E17)/NºAsuntos!G17," - ")</f>
        <v>1.2688953488372092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1822</v>
      </c>
      <c r="G18" s="866">
        <f>SUBTOTAL(9,G15:G17)</f>
        <v>1858</v>
      </c>
      <c r="H18" s="865">
        <f t="shared" ref="H18:O18" si="10">SUBTOTAL(9,H14:H17)</f>
        <v>0</v>
      </c>
      <c r="I18" s="867">
        <f t="shared" si="10"/>
        <v>0</v>
      </c>
      <c r="J18" s="867">
        <f t="shared" si="10"/>
        <v>0</v>
      </c>
      <c r="K18" s="867">
        <f t="shared" si="10"/>
        <v>0</v>
      </c>
      <c r="L18" s="867">
        <f t="shared" si="10"/>
        <v>211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7872</v>
      </c>
      <c r="X18" s="867">
        <f t="shared" si="11"/>
        <v>264</v>
      </c>
      <c r="Y18" s="868">
        <f t="shared" si="11"/>
        <v>8136</v>
      </c>
      <c r="Z18" s="868">
        <f t="shared" si="11"/>
        <v>0</v>
      </c>
      <c r="AA18" s="868">
        <f t="shared" si="11"/>
        <v>2231</v>
      </c>
      <c r="AB18" s="868">
        <f t="shared" si="11"/>
        <v>221</v>
      </c>
      <c r="AC18" s="868">
        <f t="shared" si="11"/>
        <v>2452</v>
      </c>
      <c r="AD18" s="868">
        <f t="shared" si="11"/>
        <v>0</v>
      </c>
      <c r="AE18" s="872">
        <f t="shared" si="11"/>
        <v>0</v>
      </c>
      <c r="AF18" s="865">
        <f t="shared" si="11"/>
        <v>0</v>
      </c>
      <c r="AG18" s="873">
        <f t="shared" si="11"/>
        <v>0</v>
      </c>
      <c r="AH18" s="870">
        <f t="shared" si="11"/>
        <v>0</v>
      </c>
      <c r="AI18" s="865">
        <f t="shared" si="11"/>
        <v>756</v>
      </c>
      <c r="AJ18" s="867">
        <f t="shared" si="11"/>
        <v>0</v>
      </c>
      <c r="AK18" s="870">
        <f t="shared" si="11"/>
        <v>0</v>
      </c>
      <c r="AL18" s="874">
        <f>IF(ISNUMBER(NºAsuntos!G18/NºAsuntos!E18),NºAsuntos!G18/NºAsuntos!E18," - ")</f>
        <v>0.97740253290290535</v>
      </c>
      <c r="AM18" s="874">
        <f>IF(ISNUMBER(((NºAsuntos!I18/NºAsuntos!G18)*11)/factor_trimestre),((NºAsuntos!I18/NºAsuntos!G18)*11)/factor_trimestre," - ")</f>
        <v>3.1175050813008127</v>
      </c>
      <c r="AN18" s="875">
        <f>IF(ISNUMBER('Resol  Asuntos'!D18/NºAsuntos!G18),'Resol  Asuntos'!D18/NºAsuntos!G18," - ")</f>
        <v>9.6036585365853661E-2</v>
      </c>
      <c r="AO18" s="876">
        <f>IF(ISNUMBER((NºAsuntos!C18+NºAsuntos!E18)/NºAsuntos!G18),(NºAsuntos!C18+NºAsuntos!E18)/NºAsuntos!G18," - ")</f>
        <v>1.2591463414634145</v>
      </c>
      <c r="AP18" s="877" t="str">
        <f t="shared" si="2"/>
        <v xml:space="preserve"> - </v>
      </c>
      <c r="AQ18" s="877">
        <f>IF(ISNUMBER((H18-W18+K18)/(F18)),(H18-W18+K18)/(F18)," - ")</f>
        <v>-4.3205268935236001</v>
      </c>
      <c r="AR18" s="878">
        <f>IF(ISNUMBER((Datos!P18-Datos!Q18)/(Datos!R18-Datos!P18+Datos!Q18)),(Datos!P18-Datos!Q18)/(Datos!R18-Datos!P18+Datos!Q18)," - ")</f>
        <v>-0.19343065693430658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1961</v>
      </c>
      <c r="G19" s="821">
        <f t="shared" si="13"/>
        <v>1997</v>
      </c>
      <c r="H19" s="820">
        <f t="shared" si="13"/>
        <v>0</v>
      </c>
      <c r="I19" s="822">
        <f t="shared" si="13"/>
        <v>0</v>
      </c>
      <c r="J19" s="822">
        <f t="shared" si="13"/>
        <v>0</v>
      </c>
      <c r="K19" s="881">
        <f t="shared" si="13"/>
        <v>0</v>
      </c>
      <c r="L19" s="822">
        <f t="shared" si="13"/>
        <v>1750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7947</v>
      </c>
      <c r="X19" s="821">
        <f t="shared" si="14"/>
        <v>1223</v>
      </c>
      <c r="Y19" s="828">
        <f t="shared" si="14"/>
        <v>9170</v>
      </c>
      <c r="Z19" s="828">
        <f t="shared" si="14"/>
        <v>0</v>
      </c>
      <c r="AA19" s="828">
        <f t="shared" si="14"/>
        <v>2375</v>
      </c>
      <c r="AB19" s="828">
        <f t="shared" si="14"/>
        <v>10097</v>
      </c>
      <c r="AC19" s="828">
        <f t="shared" si="14"/>
        <v>2662</v>
      </c>
      <c r="AD19" s="828">
        <f t="shared" si="14"/>
        <v>0</v>
      </c>
      <c r="AE19" s="830">
        <f t="shared" si="14"/>
        <v>0</v>
      </c>
      <c r="AF19" s="831">
        <f t="shared" si="14"/>
        <v>0</v>
      </c>
      <c r="AG19" s="832">
        <f t="shared" si="14"/>
        <v>0</v>
      </c>
      <c r="AH19" s="830">
        <f t="shared" si="14"/>
        <v>0</v>
      </c>
      <c r="AI19" s="820">
        <f t="shared" si="14"/>
        <v>2178</v>
      </c>
      <c r="AJ19" s="820">
        <f t="shared" si="14"/>
        <v>0</v>
      </c>
      <c r="AK19" s="830">
        <f t="shared" si="14"/>
        <v>0</v>
      </c>
      <c r="AL19" s="884">
        <f>IF(ISNUMBER(NºAsuntos!G19/NºAsuntos!E19),NºAsuntos!G19/NºAsuntos!E19," - ")</f>
        <v>0.92133800917183706</v>
      </c>
      <c r="AM19" s="885">
        <f>IF(ISNUMBER(((NºAsuntos!I19/NºAsuntos!G19)*11)/factor_trimestre),((NºAsuntos!I19/NºAsuntos!G19)*11)/factor_trimestre," - ")</f>
        <v>7.6362944311061662</v>
      </c>
      <c r="AN19" s="885">
        <f>IF(ISNUMBER('Resol  Asuntos'!D19/NºAsuntos!G19),'Resol  Asuntos'!D19/NºAsuntos!G19," - ")</f>
        <v>0.12753996603618903</v>
      </c>
      <c r="AO19" s="886">
        <f>IF(ISNUMBER((NºAsuntos!C19+NºAsuntos!E19)/NºAsuntos!G19),(NºAsuntos!C19+NºAsuntos!E19)/NºAsuntos!G19," - ")</f>
        <v>1.6766410962112783</v>
      </c>
      <c r="AP19" s="887" t="str">
        <f t="shared" si="2"/>
        <v xml:space="preserve"> - </v>
      </c>
      <c r="AQ19" s="888">
        <f>IF(OR(ISNUMBER(FIND("01",Criterios!A8,1)),ISNUMBER(FIND("02",Criterios!A8,1)),ISNUMBER(FIND("03",Criterios!A8,1)),ISNUMBER(FIND("04",Criterios!A8,1))),(I19-W19+K19)/(F19-K19),(H19-W19+K19)/(F19-K19))</f>
        <v>-4.0525242223355429</v>
      </c>
      <c r="AR19" s="889">
        <f>IF(ISNUMBER((Datos!P19-Datos!Q19)/(Datos!R19-Datos!P19+Datos!Q19)),(Datos!P19-Datos!Q19)/(Datos!R19-Datos!P19+Datos!Q19)," - ")</f>
        <v>5.5067920585161967E-2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971.68050304614019</v>
      </c>
      <c r="G21" s="253">
        <f>IF(ISNUMBER(STDEV(G8:G18)),STDEV(G8:G18),"-")</f>
        <v>866.96032204478649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3985.567299645058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609.87310155474142</v>
      </c>
      <c r="AJ21" s="252">
        <f t="shared" si="18"/>
        <v>0</v>
      </c>
      <c r="AK21" s="254">
        <f t="shared" si="18"/>
        <v>0</v>
      </c>
      <c r="AL21" s="249">
        <f t="shared" si="18"/>
        <v>7.1602967556183464E-2</v>
      </c>
      <c r="AM21" s="250">
        <f t="shared" si="18"/>
        <v>7.2773410613915406</v>
      </c>
      <c r="AN21" s="250">
        <f t="shared" si="18"/>
        <v>0.14774998112890592</v>
      </c>
      <c r="AO21" s="251">
        <f t="shared" si="18"/>
        <v>0.66756270511225668</v>
      </c>
      <c r="AP21" s="291" t="str">
        <f t="shared" si="18"/>
        <v>-</v>
      </c>
      <c r="AQ21" s="292">
        <f t="shared" si="18"/>
        <v>2.6735414288173636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pwt4XXRoGLprtVfa+0kfwZIlS6vX+ip+e+pHpirnFIs5im7c3HEQuspz5dICRVFLZ36/8sNQQnj+7/32AbvSA==" saltValue="VWbNJEmC5FtMSPDwEZtv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VALDEMORO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0.10317460317460317</v>
      </c>
      <c r="E10" s="348">
        <f>IF(ISNUMBER((Datos!J10-Datos!T10)/Datos!T10),(Datos!J10-Datos!T10)/Datos!T10," - ")</f>
        <v>0.90476190476190477</v>
      </c>
      <c r="F10" s="348">
        <f>IF(ISNUMBER((Datos!K10-Datos!U10)/Datos!U10),(Datos!K10-Datos!U10)/Datos!U10," - ")</f>
        <v>1.5862068965517242</v>
      </c>
      <c r="G10" s="349">
        <f>IF(ISNUMBER((Datos!L10-Datos!V10)/Datos!V10),(Datos!L10-Datos!V10)/Datos!V10," - ")</f>
        <v>3.5971223021582732E-2</v>
      </c>
      <c r="H10" s="230">
        <f>IF(ISNUMBER((Datos!M10-Datos!W10)/Datos!W10),(Datos!M10-Datos!W10)/Datos!W10," - ")</f>
        <v>2.5</v>
      </c>
      <c r="I10" s="350">
        <f>IF(ISNUMBER((Tasas!C10-Datos!BE10)/Datos!BE10),(Tasas!C10-Datos!BE10)/Datos!BE10," - ")</f>
        <v>-0.59942446043165465</v>
      </c>
      <c r="J10" s="349">
        <f>IF(ISNUMBER((Tasas!D10-Datos!BF10)/Datos!BF10),(Tasas!D10-Datos!BF10)/Datos!BF10," - ")</f>
        <v>0.35333333333333328</v>
      </c>
      <c r="K10" s="351">
        <f>IF(ISNUMBER((Tasas!E10-Datos!BG10)/Datos!BG10),(Tasas!E10-Datos!BG10)/Datos!BG10," - ")</f>
        <v>-0.49595238095238098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8.7843137254901962E-2</v>
      </c>
      <c r="I12" s="350">
        <f>IF(ISNUMBER((Tasas!C12-Datos!BE12)/Datos!BE12),(Tasas!C12-Datos!BE12)/Datos!BE12," - ")</f>
        <v>6.3332116344164593E-2</v>
      </c>
      <c r="J12" s="349">
        <f>IF(ISNUMBER((Tasas!D12-Datos!BF12)/Datos!BF12),(Tasas!D12-Datos!BF12)/Datos!BF12," - ")</f>
        <v>-0.71751860409787338</v>
      </c>
      <c r="K12" s="351">
        <f>IF(ISNUMBER((Tasas!E12-Datos!BG12)/Datos!BG12),(Tasas!E12-Datos!BG12)/Datos!BG12," - ")</f>
        <v>9.0782539040594037E-2</v>
      </c>
      <c r="M12" t="e">
        <f>IF(Monitorios="SI",Datos!CE12,0)</f>
        <v>#REF!</v>
      </c>
      <c r="N12" t="e">
        <f>IF(Monitorios="SI",Datos!CF12,0)</f>
        <v>#REF!</v>
      </c>
      <c r="O12" t="e">
        <f>IF(Monitorios="SI",Datos!CG12,0)</f>
        <v>#REF!</v>
      </c>
      <c r="P12" t="e">
        <f>IF(Monitorios="SI",Datos!CH12,0)</f>
        <v>#REF!</v>
      </c>
      <c r="Q12">
        <f>IF(J_V="SI",0,Datos!AG12)</f>
        <v>228</v>
      </c>
      <c r="R12">
        <f>IF(J_V="SI",0,Datos!AH12)</f>
        <v>1034</v>
      </c>
      <c r="S12">
        <f>IF(J_V="SI",0,Datos!AI12)</f>
        <v>1059</v>
      </c>
      <c r="T12">
        <f>IF(J_V="SI",0,Datos!AJ12)</f>
        <v>224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0.10661478599221789</v>
      </c>
      <c r="I13" s="357">
        <f>IF(ISNUMBER((Tasas!C13-Datos!BE13)/Datos!BE13),(Tasas!C13-Datos!BE13)/Datos!BE13," - ")</f>
        <v>5.6305132931509357E-2</v>
      </c>
      <c r="J13" s="355">
        <f>IF(ISNUMBER((Tasas!D13-Datos!BF13)/Datos!BF13),(Tasas!D13-Datos!BF13)/Datos!BF13," - ")</f>
        <v>-0.7123905144761139</v>
      </c>
      <c r="K13" s="358">
        <f>IF(ISNUMBER((Tasas!E13-Datos!BG13)/Datos!BG13),(Tasas!E13-Datos!BG13)/Datos!BG13," - ")</f>
        <v>8.6681875420210303E-2</v>
      </c>
      <c r="M13" t="e">
        <f>IF(Monitorios="SI",Datos!CE13,0)</f>
        <v>#REF!</v>
      </c>
      <c r="N13" t="e">
        <f>IF(Monitorios="SI",Datos!CF13,0)</f>
        <v>#REF!</v>
      </c>
      <c r="O13" t="e">
        <f>IF(Monitorios="SI",Datos!CG13,0)</f>
        <v>#REF!</v>
      </c>
      <c r="P13" t="e">
        <f>IF(Monitorios="SI",Datos!CH13,0)</f>
        <v>#REF!</v>
      </c>
      <c r="Q13">
        <f>IF(J_V="SI",0,Datos!AG13)</f>
        <v>228</v>
      </c>
      <c r="R13">
        <f>IF(J_V="SI",0,Datos!AH13)</f>
        <v>1034</v>
      </c>
      <c r="S13">
        <f>IF(J_V="SI",0,Datos!AI13)</f>
        <v>1059</v>
      </c>
      <c r="T13">
        <f>IF(J_V="SI",0,Datos!AJ13)</f>
        <v>224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2.9058749210360075E-2</v>
      </c>
      <c r="E16" s="348">
        <f>IF(ISNUMBER(
   IF(D_I="SI",(Datos!J16-Datos!T16)/Datos!T16,(Datos!J16+Datos!AD16-(Datos!T16+Datos!AL16))/(Datos!T16+Datos!AL16))
     ),IF(D_I="SI",(Datos!J16-Datos!T16)/Datos!T16,(Datos!J16+Datos!AD16-(Datos!T16+Datos!AL16))/(Datos!T16+Datos!AL16))," - ")</f>
        <v>7.3757426459933342E-2</v>
      </c>
      <c r="F16" s="348">
        <f>IF(ISNUMBER(
   IF(D_I="SI",(Datos!K16-Datos!U16)/Datos!U16,(Datos!K16+Datos!AE16-(Datos!U16+Datos!AM16))/(Datos!U16+Datos!AM16))
     ),IF(D_I="SI",(Datos!K16-Datos!U16)/Datos!U16,(Datos!K16+Datos!AE16-(Datos!U16+Datos!AM16))/(Datos!U16+Datos!AM16))," - ")</f>
        <v>1.9151652716697404E-2</v>
      </c>
      <c r="G16" s="349">
        <f>IF(ISNUMBER(
   IF(D_I="SI",(Datos!L16-Datos!V16)/Datos!V16,(Datos!L16+Datos!AF16-(Datos!V16+Datos!AN16))/(Datos!V16+Datos!AN16))
     ),IF(D_I="SI",(Datos!L16-Datos!V16)/Datos!V16,(Datos!L16+Datos!AF16-(Datos!V16+Datos!AN16))/(Datos!V16+Datos!AN16))," - ")</f>
        <v>0.25721301411909148</v>
      </c>
      <c r="H16" s="230">
        <f>IF(ISNUMBER((Datos!M16-Datos!W16)/Datos!W16),(Datos!M16-Datos!W16)/Datos!W16," - ")</f>
        <v>0.12380952380952381</v>
      </c>
      <c r="I16" s="350">
        <f>IF(ISNUMBER((Tasas!C16-Datos!BE16)/Datos!BE16),(Tasas!C16-Datos!BE16)/Datos!BE16," - ")</f>
        <v>0.23358776956089583</v>
      </c>
      <c r="J16" s="349">
        <f>IF(ISNUMBER((Tasas!D16-Datos!BF16)/Datos!BF16),(Tasas!D16-Datos!BF16)/Datos!BF16," - ")</f>
        <v>0.10269116555308083</v>
      </c>
      <c r="K16" s="351">
        <f>IF(ISNUMBER((Tasas!E16-Datos!BG16)/Datos!BG16),(Tasas!E16-Datos!BG16)/Datos!BG16," - ")</f>
        <v>4.539619120598043E-2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0.46363636363636362</v>
      </c>
      <c r="F17" s="348">
        <f>IF(ISNUMBER(
   IF(D_I="SI",(Datos!K17-Datos!U17)/Datos!U17,(Datos!K17+Datos!AE17-(Datos!U17+Datos!AM17))/(Datos!U17+Datos!AM17))
     ),IF(D_I="SI",(Datos!K17-Datos!U17)/Datos!U17,(Datos!K17+Datos!AE17-(Datos!U17+Datos!AM17))/(Datos!U17+Datos!AM17))," - ")</f>
        <v>0.54260089686098656</v>
      </c>
      <c r="G17" s="349">
        <f>IF(ISNUMBER(
   IF(D_I="SI",(Datos!L17-Datos!V17)/Datos!V17,(Datos!L17+Datos!AF17-(Datos!V17+Datos!AN17))/(Datos!V17+Datos!AN17))
     ),IF(D_I="SI",(Datos!L17-Datos!V17)/Datos!V17,(Datos!L17+Datos!AF17-(Datos!V17+Datos!AN17))/(Datos!V17+Datos!AN17))," - ")</f>
        <v>-0.20087336244541484</v>
      </c>
      <c r="H17" s="230">
        <f>IF(ISNUMBER((Datos!M17-Datos!W17)/Datos!W17),(Datos!M17-Datos!W17)/Datos!W17," - ")</f>
        <v>-0.04</v>
      </c>
      <c r="I17" s="350">
        <f>IF(ISNUMBER((Tasas!C17-Datos!BE17)/Datos!BE17),(Tasas!C17-Datos!BE17)/Datos!BE17," - ")</f>
        <v>-0.48196151112013819</v>
      </c>
      <c r="J17" s="349">
        <f>IF(ISNUMBER((Tasas!D17-Datos!BF17)/Datos!BF17),(Tasas!D17-Datos!BF17)/Datos!BF17," - ")</f>
        <v>-0.37767441860465117</v>
      </c>
      <c r="K17" s="351">
        <f>IF(ISNUMBER((Tasas!E17-Datos!BG17)/Datos!BG17),(Tasas!E17-Datos!BG17)/Datos!BG17," - ")</f>
        <v>-0.15406976744186052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2.5386313465783666E-2</v>
      </c>
      <c r="E18" s="354">
        <f>IF(ISNUMBER(
   IF(D_I="SI",(Datos!J18-Datos!T18)/Datos!T18,(Datos!J18+Datos!AD18-(Datos!T18+Datos!AL18))/(Datos!T18+Datos!AL18))
     ),IF(D_I="SI",(Datos!J18-Datos!T18)/Datos!T18,(Datos!J18+Datos!AD18-(Datos!T18+Datos!AL18))/(Datos!T18+Datos!AL18))," - ")</f>
        <v>9.7125732189075054E-2</v>
      </c>
      <c r="F18" s="354">
        <f>IF(ISNUMBER(
   IF(D_I="SI",(Datos!K18-Datos!U18)/Datos!U18,(Datos!K18+Datos!AE18-(Datos!U18+Datos!AM18))/(Datos!U18+Datos!AM18))
     ),IF(D_I="SI",(Datos!K18-Datos!U18)/Datos!U18,(Datos!K18+Datos!AE18-(Datos!U18+Datos!AM18))/(Datos!U18+Datos!AM18))," - ")</f>
        <v>5.0300200133422283E-2</v>
      </c>
      <c r="G18" s="355">
        <f>IF(ISNUMBER(
   IF(D_I="SI",(Datos!L18-Datos!V18)/Datos!V18,(Datos!L18+Datos!AF18-(Datos!V18+Datos!AN18))/(Datos!V18+Datos!AN18))
     ),IF(D_I="SI",(Datos!L18-Datos!V18)/Datos!V18,(Datos!L18+Datos!AF18-(Datos!V18+Datos!AN18))/(Datos!V18+Datos!AN18))," - ")</f>
        <v>0.20075349838536061</v>
      </c>
      <c r="H18" s="356">
        <f>IF(ISNUMBER((Datos!M18-Datos!W18)/Datos!W18),(Datos!M18-Datos!W18)/Datos!W18," - ")</f>
        <v>0.11176470588235295</v>
      </c>
      <c r="I18" s="357">
        <f>IF(ISNUMBER((Tasas!C18-Datos!BE18)/Datos!BE18),(Tasas!C18-Datos!BE18)/Datos!BE18," - ")</f>
        <v>0.14324790020303316</v>
      </c>
      <c r="J18" s="355">
        <f>IF(ISNUMBER((Tasas!D18-Datos!BF18)/Datos!BF18),(Tasas!D18-Datos!BF18)/Datos!BF18," - ")</f>
        <v>5.8520893113342916E-2</v>
      </c>
      <c r="K18" s="358">
        <f>IF(ISNUMBER((Tasas!E18-Datos!BG18)/Datos!BG18),(Tasas!E18-Datos!BG18)/Datos!BG18," - ")</f>
        <v>3.1061054219194983E-2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0.23329668987419078</v>
      </c>
      <c r="E19" s="363">
        <f>IF(ISNUMBER(
   IF(J_V="SI",(Datos!J19-Datos!T19)/Datos!T19,(Datos!J19+Datos!Z19-(Datos!T19+Datos!AH19))/(Datos!T19+Datos!AH19))
     ),IF(J_V="SI",(Datos!J19-Datos!T19)/Datos!T19,(Datos!J19+Datos!Z19-(Datos!T19+Datos!AH19))/(Datos!T19+Datos!AH19))," - ")</f>
        <v>0.12034574468085106</v>
      </c>
      <c r="F19" s="363">
        <f>IF(ISNUMBER(
   IF(J_V="SI",(Datos!K19-Datos!U19)/Datos!U19,(Datos!K19+Datos!AA19-(Datos!U19+Datos!AI19))/(Datos!U19+Datos!AI19))
     ),IF(J_V="SI",(Datos!K19-Datos!U19)/Datos!U19,(Datos!K19+Datos!AA19-(Datos!U19+Datos!AI19))/(Datos!U19+Datos!AI19))," - ")</f>
        <v>7.9524622289651681E-2</v>
      </c>
      <c r="G19" s="364">
        <f>IF(ISNUMBER(
   IF(J_V="SI",(Datos!L19-Datos!V19)/Datos!V19,(Datos!L19+Datos!AB19-(Datos!V19+Datos!AJ19))/(Datos!V19+Datos!AJ19))
     ),IF(J_V="SI",(Datos!L19-Datos!V19)/Datos!V19,(Datos!L19+Datos!AB19-(Datos!V19+Datos!AJ19))/(Datos!V19+Datos!AJ19))," - ")</f>
        <v>0.17411112211547985</v>
      </c>
      <c r="H19" s="365">
        <f>IF(ISNUMBER((Datos!M19-Datos!W19)/Datos!W19),(Datos!M19-Datos!W19)/Datos!W19," - ")</f>
        <v>0.10839694656488549</v>
      </c>
      <c r="I19" s="362">
        <f>IF(ISNUMBER((Tasas!C19-Datos!BE19)/Datos!BE19),(Tasas!C19-Datos!BE19)/Datos!BE19," - ")</f>
        <v>8.761865905866216E-2</v>
      </c>
      <c r="J19" s="363">
        <f>IF(ISNUMBER((Tasas!D19-Datos!BF19)/Datos!BF19),(Tasas!D19-Datos!BF19)/Datos!BF19," - ")</f>
        <v>-0.60831785619753942</v>
      </c>
      <c r="K19" s="364">
        <f>IF(ISNUMBER((Tasas!E19-Datos!BG19)/Datos!BG19),(Tasas!E19-Datos!BG19)/Datos!BG19," - ")</f>
        <v>7.2450992720319143E-2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4.4433038727074811E-2</v>
      </c>
      <c r="E21" s="278">
        <f t="shared" si="1"/>
        <v>0.38990576634721269</v>
      </c>
      <c r="F21" s="278">
        <f t="shared" si="1"/>
        <v>0.73150041690144119</v>
      </c>
      <c r="G21" s="279">
        <f t="shared" si="1"/>
        <v>0.20545304141473966</v>
      </c>
      <c r="H21" s="285">
        <f t="shared" si="1"/>
        <v>0.99060139674694492</v>
      </c>
      <c r="I21" s="277">
        <f t="shared" si="1"/>
        <v>0.35123794425466359</v>
      </c>
      <c r="J21" s="278">
        <f t="shared" si="1"/>
        <v>0.4527974895808799</v>
      </c>
      <c r="K21" s="279">
        <f t="shared" si="1"/>
        <v>0.22905798891638054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UATzlwkL1xnJUcTR2OW4TLZoZwglHoep4UHjzde0Njz01OsXVKw2knze2tBQmhbMQLe95QaRFWX7emySivCnA==" saltValue="8jE5Adm71mMNV4LOY4kX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